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E831" lockStructure="1"/>
  <bookViews>
    <workbookView xWindow="480" yWindow="30" windowWidth="18195" windowHeight="11310"/>
  </bookViews>
  <sheets>
    <sheet name="Instructions" sheetId="3" r:id="rId1"/>
    <sheet name="Bid Data" sheetId="1" r:id="rId2"/>
    <sheet name="Validation" sheetId="2" r:id="rId3"/>
  </sheets>
  <definedNames>
    <definedName name="Applicant_Name">'Bid Data'!$F$7</definedName>
    <definedName name="Base_to_Early_CO_Factor">Validation!$H$10</definedName>
    <definedName name="Base_Upgrade_Cost">'Bid Data'!$F$19</definedName>
    <definedName name="Base_Year">Validation!$H$9</definedName>
    <definedName name="CO_Date">'Bid Data'!$F$12</definedName>
    <definedName name="CO_Date_List">Validation!$N$10:$N$82</definedName>
    <definedName name="Earliest_CO_Date">Validation!$H$18</definedName>
    <definedName name="Form_Date">'Bid Data'!$J$5</definedName>
    <definedName name="Form_Version">'Bid Data'!$H$5</definedName>
    <definedName name="IC_Point">'Bid Data'!$F$11</definedName>
    <definedName name="IC_Point_List">Validation!$D$29:$D$31</definedName>
    <definedName name="ICAP_Range_Tops">Validation!$F$28:$I$28</definedName>
    <definedName name="Inflation_Rate">Validation!$H$11</definedName>
    <definedName name="Inflation2">Validation!$H$12</definedName>
    <definedName name="Inflation3">Validation!$H$13</definedName>
    <definedName name="InfYr1">Validation!$G$11</definedName>
    <definedName name="InfYr2">Validation!$G$12</definedName>
    <definedName name="InfYr3">Validation!$G$13</definedName>
    <definedName name="Installed_Capacity">'Bid Data'!$F$9</definedName>
    <definedName name="Latest_CO_Date">Validation!$H$19</definedName>
    <definedName name="Lease_Site">'Bid Data'!$F$10</definedName>
    <definedName name="Lease_Site_List">Validation!$H$34:$H$36</definedName>
    <definedName name="LTC_T_Bond_Rate">Validation!$H$14</definedName>
    <definedName name="Max_OREC_Term">Validation!$G$42</definedName>
    <definedName name="Max_Part_2_Price">Validation!$I$42</definedName>
    <definedName name="Max_Part1_Price">Validation!$H$42</definedName>
    <definedName name="MaxCap">Validation!$F$42</definedName>
    <definedName name="Min_OREC_Term">Validation!$G$41</definedName>
    <definedName name="Min_Part_2_Price">Validation!$I$41</definedName>
    <definedName name="Min_Part1_Price">Validation!$H$41</definedName>
    <definedName name="MinCap">Validation!$F$41</definedName>
    <definedName name="OREC_Price_Cap">Validation!$H$8</definedName>
    <definedName name="OREC_Term">'Bid Data'!$F$16</definedName>
    <definedName name="Part_1_Price_Table">'Bid Data'!$F$26:$F$55</definedName>
    <definedName name="Part_2_Price">'Bid Data'!$F$20</definedName>
    <definedName name="Price_Prpsl_Name">'Bid Data'!$F$14</definedName>
    <definedName name="Price_Prpsl_Type">'Bid Data'!$F$15</definedName>
    <definedName name="Price_Type_List">Validation!$H$22:$H$23</definedName>
    <definedName name="_xlnm.Print_Area" localSheetId="1">'Bid Data'!$B$2:$O$66</definedName>
    <definedName name="_xlnm.Print_Area" localSheetId="0">Instructions!$B$6:$L$97</definedName>
    <definedName name="_xlnm.Print_Area" localSheetId="2">Validation!$B$2:$L$46</definedName>
    <definedName name="_xlnm.Print_Titles" localSheetId="0">Instructions!$2:$5</definedName>
    <definedName name="Project_Name">'Bid Data'!$F$8</definedName>
    <definedName name="Real_Discount_Rate">Validation!$H$15</definedName>
    <definedName name="Rounded_Part2_Price">'Bid Data'!$R$20</definedName>
    <definedName name="Upgrade_Base_Year">Validation!$H$26</definedName>
    <definedName name="Upgrade_Case">'Bid Data'!$F$18</definedName>
    <definedName name="Upgrade_Cost_Table">Validation!$F$29:$I$31</definedName>
  </definedNames>
  <calcPr calcId="145621"/>
</workbook>
</file>

<file path=xl/calcChain.xml><?xml version="1.0" encoding="utf-8"?>
<calcChain xmlns="http://schemas.openxmlformats.org/spreadsheetml/2006/main">
  <c r="T9" i="1" l="1"/>
  <c r="V9" i="1"/>
  <c r="S9" i="1"/>
  <c r="F11" i="2" l="1"/>
  <c r="H10" i="2"/>
  <c r="F10" i="2"/>
  <c r="K26" i="1"/>
  <c r="F31" i="2"/>
  <c r="F30" i="2"/>
  <c r="I29" i="2"/>
  <c r="H29" i="2"/>
  <c r="G29" i="2"/>
  <c r="F29" i="2"/>
  <c r="I31" i="2"/>
  <c r="I30" i="2"/>
  <c r="D27" i="2"/>
  <c r="S12" i="1"/>
  <c r="H19" i="1" s="1"/>
  <c r="K59" i="1" l="1"/>
  <c r="U18" i="1"/>
  <c r="U19" i="1"/>
  <c r="H15" i="2" l="1"/>
  <c r="F13" i="2" l="1"/>
  <c r="F12" i="2"/>
  <c r="H4" i="3" l="1"/>
  <c r="F4" i="3"/>
  <c r="F42" i="2" l="1"/>
  <c r="F41" i="2"/>
  <c r="S10" i="1"/>
  <c r="F18" i="1"/>
  <c r="T18" i="1" l="1"/>
  <c r="T19" i="1"/>
  <c r="V19" i="1" s="1"/>
  <c r="R20" i="1"/>
  <c r="T20" i="1" l="1"/>
  <c r="V18" i="1"/>
  <c r="V20" i="1" s="1"/>
  <c r="F19" i="1" s="1"/>
  <c r="C70" i="1"/>
  <c r="C26" i="1"/>
  <c r="P10" i="2"/>
  <c r="O10" i="2"/>
  <c r="I8" i="2"/>
  <c r="D26" i="1" l="1"/>
  <c r="L23" i="1"/>
  <c r="N10" i="2"/>
  <c r="D60" i="1"/>
  <c r="Q20" i="1" l="1"/>
  <c r="Q16" i="1"/>
  <c r="Q15" i="1"/>
  <c r="Q14" i="1"/>
  <c r="Q12" i="1"/>
  <c r="Q10" i="1"/>
  <c r="Q9" i="1"/>
  <c r="Q8" i="1"/>
  <c r="Q7" i="1"/>
  <c r="K20" i="1"/>
  <c r="D58" i="1" l="1"/>
  <c r="H58" i="1"/>
  <c r="M24" i="1"/>
  <c r="K24" i="1"/>
  <c r="L26" i="1" l="1"/>
  <c r="Q61" i="1"/>
  <c r="D61" i="1" s="1"/>
  <c r="I21" i="1"/>
  <c r="P11" i="2"/>
  <c r="P12" i="2" s="1"/>
  <c r="O11" i="2"/>
  <c r="H4" i="2"/>
  <c r="F4" i="2"/>
  <c r="C27" i="1"/>
  <c r="D27" i="1" l="1"/>
  <c r="K27" i="1"/>
  <c r="N11" i="2"/>
  <c r="C28" i="1"/>
  <c r="R26" i="1"/>
  <c r="H26" i="1" s="1"/>
  <c r="L27" i="1"/>
  <c r="E26" i="1"/>
  <c r="Q62" i="1"/>
  <c r="D62" i="1" s="1"/>
  <c r="P13" i="2"/>
  <c r="P14" i="2" s="1"/>
  <c r="O12" i="2"/>
  <c r="N12" i="2" s="1"/>
  <c r="K28" i="1" l="1"/>
  <c r="S28" i="1" s="1"/>
  <c r="S27" i="1"/>
  <c r="D28" i="1"/>
  <c r="R28" i="1" s="1"/>
  <c r="H28" i="1" s="1"/>
  <c r="I26" i="1"/>
  <c r="C29" i="1"/>
  <c r="L28" i="1"/>
  <c r="Q26" i="1"/>
  <c r="R27" i="1"/>
  <c r="H27" i="1" s="1"/>
  <c r="Q63" i="1"/>
  <c r="D63" i="1" s="1"/>
  <c r="E27" i="1"/>
  <c r="O13" i="2"/>
  <c r="N13" i="2" s="1"/>
  <c r="P15" i="2"/>
  <c r="K29" i="1" l="1"/>
  <c r="S29" i="1" s="1"/>
  <c r="D29" i="1"/>
  <c r="R29" i="1" s="1"/>
  <c r="H29" i="1" s="1"/>
  <c r="E28" i="1"/>
  <c r="I27" i="1"/>
  <c r="I28" i="1"/>
  <c r="L29" i="1"/>
  <c r="C30" i="1"/>
  <c r="Q28" i="1"/>
  <c r="Q27" i="1"/>
  <c r="Q64" i="1"/>
  <c r="D64" i="1" s="1"/>
  <c r="O14" i="2"/>
  <c r="N14" i="2" s="1"/>
  <c r="P16" i="2"/>
  <c r="K30" i="1" l="1"/>
  <c r="S30" i="1" s="1"/>
  <c r="D30" i="1"/>
  <c r="R30" i="1" s="1"/>
  <c r="H30" i="1" s="1"/>
  <c r="I29" i="1"/>
  <c r="E29" i="1"/>
  <c r="C31" i="1"/>
  <c r="L30" i="1"/>
  <c r="Q29" i="1"/>
  <c r="Q65" i="1"/>
  <c r="D65" i="1" s="1"/>
  <c r="O15" i="2"/>
  <c r="N15" i="2" s="1"/>
  <c r="P17" i="2"/>
  <c r="K31" i="1" l="1"/>
  <c r="S31" i="1" s="1"/>
  <c r="D31" i="1"/>
  <c r="R31" i="1" s="1"/>
  <c r="H31" i="1" s="1"/>
  <c r="I30" i="1"/>
  <c r="E30" i="1"/>
  <c r="C32" i="1"/>
  <c r="L31" i="1"/>
  <c r="Q30" i="1"/>
  <c r="O16" i="2"/>
  <c r="N16" i="2" s="1"/>
  <c r="P18" i="2"/>
  <c r="K32" i="1" l="1"/>
  <c r="S32" i="1" s="1"/>
  <c r="D32" i="1"/>
  <c r="R32" i="1" s="1"/>
  <c r="H32" i="1" s="1"/>
  <c r="C33" i="1"/>
  <c r="I31" i="1"/>
  <c r="E31" i="1"/>
  <c r="L32" i="1"/>
  <c r="Q31" i="1"/>
  <c r="O17" i="2"/>
  <c r="N17" i="2" s="1"/>
  <c r="P19" i="2"/>
  <c r="K33" i="1" l="1"/>
  <c r="S33" i="1" s="1"/>
  <c r="D33" i="1"/>
  <c r="E33" i="1" s="1"/>
  <c r="L33" i="1"/>
  <c r="C34" i="1"/>
  <c r="E32" i="1"/>
  <c r="I32" i="1"/>
  <c r="Q32" i="1"/>
  <c r="O18" i="2"/>
  <c r="N18" i="2" s="1"/>
  <c r="P20" i="2"/>
  <c r="K34" i="1" l="1"/>
  <c r="S34" i="1" s="1"/>
  <c r="D34" i="1"/>
  <c r="R34" i="1" s="1"/>
  <c r="H34" i="1" s="1"/>
  <c r="L34" i="1"/>
  <c r="R33" i="1"/>
  <c r="H33" i="1" s="1"/>
  <c r="C35" i="1"/>
  <c r="O19" i="2"/>
  <c r="N19" i="2" s="1"/>
  <c r="P21" i="2"/>
  <c r="K35" i="1" l="1"/>
  <c r="S35" i="1" s="1"/>
  <c r="D35" i="1"/>
  <c r="R35" i="1" s="1"/>
  <c r="H35" i="1" s="1"/>
  <c r="Q33" i="1"/>
  <c r="C36" i="1"/>
  <c r="L35" i="1"/>
  <c r="E34" i="1"/>
  <c r="I33" i="1"/>
  <c r="I34" i="1"/>
  <c r="Q34" i="1"/>
  <c r="O20" i="2"/>
  <c r="N20" i="2" s="1"/>
  <c r="P22" i="2"/>
  <c r="C37" i="1" l="1"/>
  <c r="D37" i="1" s="1"/>
  <c r="K36" i="1"/>
  <c r="S36" i="1" s="1"/>
  <c r="L36" i="1"/>
  <c r="D36" i="1"/>
  <c r="R36" i="1" s="1"/>
  <c r="H36" i="1" s="1"/>
  <c r="E35" i="1"/>
  <c r="I35" i="1"/>
  <c r="Q35" i="1"/>
  <c r="L37" i="1"/>
  <c r="O21" i="2"/>
  <c r="N21" i="2" s="1"/>
  <c r="P23" i="2"/>
  <c r="C38" i="1"/>
  <c r="K37" i="1" l="1"/>
  <c r="S37" i="1" s="1"/>
  <c r="E36" i="1"/>
  <c r="D38" i="1"/>
  <c r="I36" i="1"/>
  <c r="Q36" i="1"/>
  <c r="R37" i="1"/>
  <c r="H37" i="1" s="1"/>
  <c r="L38" i="1"/>
  <c r="E37" i="1"/>
  <c r="O22" i="2"/>
  <c r="N22" i="2" s="1"/>
  <c r="P24" i="2"/>
  <c r="C39" i="1"/>
  <c r="K38" i="1" l="1"/>
  <c r="S38" i="1" s="1"/>
  <c r="D39" i="1"/>
  <c r="I37" i="1"/>
  <c r="Q37" i="1"/>
  <c r="R38" i="1"/>
  <c r="H38" i="1" s="1"/>
  <c r="L39" i="1"/>
  <c r="E38" i="1"/>
  <c r="O23" i="2"/>
  <c r="N23" i="2" s="1"/>
  <c r="P25" i="2"/>
  <c r="C40" i="1"/>
  <c r="K39" i="1" l="1"/>
  <c r="S39" i="1" s="1"/>
  <c r="D40" i="1"/>
  <c r="I38" i="1"/>
  <c r="Q38" i="1"/>
  <c r="R39" i="1"/>
  <c r="H39" i="1" s="1"/>
  <c r="L40" i="1"/>
  <c r="E39" i="1"/>
  <c r="O24" i="2"/>
  <c r="N24" i="2" s="1"/>
  <c r="P26" i="2"/>
  <c r="C41" i="1"/>
  <c r="K40" i="1" l="1"/>
  <c r="S40" i="1" s="1"/>
  <c r="D41" i="1"/>
  <c r="I39" i="1"/>
  <c r="Q39" i="1"/>
  <c r="R40" i="1"/>
  <c r="H40" i="1" s="1"/>
  <c r="L41" i="1"/>
  <c r="E40" i="1"/>
  <c r="O25" i="2"/>
  <c r="N25" i="2" s="1"/>
  <c r="P27" i="2"/>
  <c r="C42" i="1"/>
  <c r="K41" i="1" l="1"/>
  <c r="S41" i="1" s="1"/>
  <c r="K42" i="1"/>
  <c r="S42" i="1" s="1"/>
  <c r="D42" i="1"/>
  <c r="I40" i="1"/>
  <c r="Q40" i="1"/>
  <c r="R41" i="1"/>
  <c r="H41" i="1" s="1"/>
  <c r="L42" i="1"/>
  <c r="E41" i="1"/>
  <c r="O26" i="2"/>
  <c r="N26" i="2" s="1"/>
  <c r="P28" i="2"/>
  <c r="C43" i="1"/>
  <c r="K43" i="1" s="1"/>
  <c r="S43" i="1" s="1"/>
  <c r="D43" i="1" l="1"/>
  <c r="I41" i="1"/>
  <c r="Q41" i="1"/>
  <c r="R42" i="1"/>
  <c r="H42" i="1" s="1"/>
  <c r="L43" i="1"/>
  <c r="E42" i="1"/>
  <c r="O27" i="2"/>
  <c r="N27" i="2" s="1"/>
  <c r="P29" i="2"/>
  <c r="C44" i="1"/>
  <c r="K44" i="1" s="1"/>
  <c r="S44" i="1" s="1"/>
  <c r="D44" i="1" l="1"/>
  <c r="I42" i="1"/>
  <c r="Q42" i="1"/>
  <c r="R43" i="1"/>
  <c r="H43" i="1" s="1"/>
  <c r="L44" i="1"/>
  <c r="E43" i="1"/>
  <c r="O28" i="2"/>
  <c r="N28" i="2" s="1"/>
  <c r="P30" i="2"/>
  <c r="C45" i="1"/>
  <c r="K45" i="1" s="1"/>
  <c r="S45" i="1" s="1"/>
  <c r="D45" i="1" l="1"/>
  <c r="I43" i="1"/>
  <c r="Q43" i="1"/>
  <c r="R44" i="1"/>
  <c r="H44" i="1" s="1"/>
  <c r="L45" i="1"/>
  <c r="E44" i="1"/>
  <c r="O29" i="2"/>
  <c r="N29" i="2" s="1"/>
  <c r="P31" i="2"/>
  <c r="C46" i="1"/>
  <c r="K46" i="1" s="1"/>
  <c r="S46" i="1" s="1"/>
  <c r="D46" i="1" l="1"/>
  <c r="I44" i="1"/>
  <c r="Q44" i="1"/>
  <c r="R45" i="1"/>
  <c r="H45" i="1" s="1"/>
  <c r="L46" i="1"/>
  <c r="E45" i="1"/>
  <c r="O30" i="2"/>
  <c r="N30" i="2" s="1"/>
  <c r="P32" i="2"/>
  <c r="C47" i="1"/>
  <c r="K47" i="1" s="1"/>
  <c r="S47" i="1" s="1"/>
  <c r="D47" i="1" l="1"/>
  <c r="I45" i="1"/>
  <c r="Q45" i="1"/>
  <c r="R46" i="1"/>
  <c r="H46" i="1" s="1"/>
  <c r="L47" i="1"/>
  <c r="E46" i="1"/>
  <c r="O31" i="2"/>
  <c r="N31" i="2" s="1"/>
  <c r="P33" i="2"/>
  <c r="C48" i="1"/>
  <c r="K48" i="1" s="1"/>
  <c r="S48" i="1" s="1"/>
  <c r="D48" i="1" l="1"/>
  <c r="I46" i="1"/>
  <c r="Q46" i="1"/>
  <c r="R47" i="1"/>
  <c r="H47" i="1" s="1"/>
  <c r="L48" i="1"/>
  <c r="E47" i="1"/>
  <c r="O32" i="2"/>
  <c r="N32" i="2" s="1"/>
  <c r="P34" i="2"/>
  <c r="C49" i="1"/>
  <c r="C50" i="1" l="1"/>
  <c r="D50" i="1" s="1"/>
  <c r="K49" i="1"/>
  <c r="S49" i="1" s="1"/>
  <c r="C51" i="1"/>
  <c r="D51" i="1" s="1"/>
  <c r="D49" i="1"/>
  <c r="I47" i="1"/>
  <c r="Q47" i="1"/>
  <c r="R48" i="1"/>
  <c r="H48" i="1" s="1"/>
  <c r="L49" i="1"/>
  <c r="E48" i="1"/>
  <c r="O33" i="2"/>
  <c r="N33" i="2" s="1"/>
  <c r="P35" i="2"/>
  <c r="L50" i="1" l="1"/>
  <c r="R51" i="1"/>
  <c r="E51" i="1"/>
  <c r="N51" i="1" s="1"/>
  <c r="R50" i="1"/>
  <c r="E50" i="1"/>
  <c r="K50" i="1"/>
  <c r="S50" i="1" s="1"/>
  <c r="C52" i="1"/>
  <c r="D52" i="1" s="1"/>
  <c r="L51" i="1"/>
  <c r="I48" i="1"/>
  <c r="Q48" i="1"/>
  <c r="R49" i="1"/>
  <c r="H49" i="1" s="1"/>
  <c r="E49" i="1"/>
  <c r="O34" i="2"/>
  <c r="N34" i="2" s="1"/>
  <c r="P36" i="2"/>
  <c r="H50" i="1" l="1"/>
  <c r="Q50" i="1"/>
  <c r="I50" i="1"/>
  <c r="R52" i="1"/>
  <c r="E52" i="1"/>
  <c r="N52" i="1" s="1"/>
  <c r="Q51" i="1"/>
  <c r="H51" i="1"/>
  <c r="I51" i="1"/>
  <c r="K51" i="1"/>
  <c r="S51" i="1" s="1"/>
  <c r="C53" i="1"/>
  <c r="D53" i="1" s="1"/>
  <c r="L52" i="1"/>
  <c r="I49" i="1"/>
  <c r="Q49" i="1"/>
  <c r="O35" i="2"/>
  <c r="N35" i="2" s="1"/>
  <c r="P37" i="2"/>
  <c r="C54" i="1" l="1"/>
  <c r="H52" i="1"/>
  <c r="Q52" i="1"/>
  <c r="I52" i="1"/>
  <c r="R53" i="1"/>
  <c r="E53" i="1"/>
  <c r="N53" i="1" s="1"/>
  <c r="K52" i="1"/>
  <c r="S52" i="1" s="1"/>
  <c r="L53" i="1"/>
  <c r="D54" i="1"/>
  <c r="L54" i="1"/>
  <c r="O36" i="2"/>
  <c r="N36" i="2" s="1"/>
  <c r="P38" i="2"/>
  <c r="C55" i="1"/>
  <c r="I53" i="1" l="1"/>
  <c r="Q53" i="1"/>
  <c r="H53" i="1"/>
  <c r="K53" i="1"/>
  <c r="D55" i="1"/>
  <c r="R54" i="1"/>
  <c r="H54" i="1" s="1"/>
  <c r="L55" i="1"/>
  <c r="R65" i="1" s="1"/>
  <c r="E54" i="1"/>
  <c r="N54" i="1" s="1"/>
  <c r="O37" i="2"/>
  <c r="N37" i="2" s="1"/>
  <c r="P39" i="2"/>
  <c r="S53" i="1" l="1"/>
  <c r="K54" i="1"/>
  <c r="R64" i="1"/>
  <c r="R63" i="1"/>
  <c r="I54" i="1"/>
  <c r="Q54" i="1"/>
  <c r="R55" i="1"/>
  <c r="H55" i="1" s="1"/>
  <c r="E55" i="1"/>
  <c r="F68" i="1" s="1"/>
  <c r="R62" i="1"/>
  <c r="R61" i="1"/>
  <c r="O38" i="2"/>
  <c r="N38" i="2" s="1"/>
  <c r="P40" i="2"/>
  <c r="S54" i="1" l="1"/>
  <c r="K55" i="1"/>
  <c r="S55" i="1" s="1"/>
  <c r="R60" i="1"/>
  <c r="I55" i="1"/>
  <c r="Q55" i="1"/>
  <c r="N55" i="1"/>
  <c r="E56" i="1"/>
  <c r="O39" i="2"/>
  <c r="N39" i="2" s="1"/>
  <c r="P41" i="2"/>
  <c r="H69" i="1" l="1"/>
  <c r="H70" i="1" s="1"/>
  <c r="I69" i="1"/>
  <c r="I70" i="1" s="1"/>
  <c r="O40" i="2"/>
  <c r="N40" i="2" s="1"/>
  <c r="P42" i="2"/>
  <c r="O41" i="2" l="1"/>
  <c r="N41" i="2" s="1"/>
  <c r="P43" i="2"/>
  <c r="O42" i="2" l="1"/>
  <c r="N42" i="2" s="1"/>
  <c r="P44" i="2"/>
  <c r="O43" i="2" l="1"/>
  <c r="N43" i="2" s="1"/>
  <c r="P45" i="2"/>
  <c r="P46" i="2" l="1"/>
  <c r="O44" i="2"/>
  <c r="N44" i="2" s="1"/>
  <c r="P47" i="2" l="1"/>
  <c r="O45" i="2"/>
  <c r="H21" i="1"/>
  <c r="R6" i="1"/>
  <c r="T6" i="1" s="1"/>
  <c r="I64" i="1" l="1"/>
  <c r="I63" i="1"/>
  <c r="I65" i="1"/>
  <c r="H65" i="1"/>
  <c r="H64" i="1"/>
  <c r="H63" i="1"/>
  <c r="J51" i="1"/>
  <c r="M51" i="1" s="1"/>
  <c r="J50" i="1"/>
  <c r="M50" i="1" s="1"/>
  <c r="J53" i="1"/>
  <c r="M53" i="1" s="1"/>
  <c r="J52" i="1"/>
  <c r="M52" i="1" s="1"/>
  <c r="N45" i="2"/>
  <c r="O46" i="2"/>
  <c r="P48" i="2"/>
  <c r="J55" i="1"/>
  <c r="M55" i="1" s="1"/>
  <c r="J49" i="1"/>
  <c r="M49" i="1" s="1"/>
  <c r="J45" i="1"/>
  <c r="M45" i="1" s="1"/>
  <c r="J41" i="1"/>
  <c r="M41" i="1" s="1"/>
  <c r="J37" i="1"/>
  <c r="M37" i="1" s="1"/>
  <c r="J33" i="1"/>
  <c r="M33" i="1" s="1"/>
  <c r="J29" i="1"/>
  <c r="M29" i="1" s="1"/>
  <c r="J48" i="1"/>
  <c r="M48" i="1" s="1"/>
  <c r="J36" i="1"/>
  <c r="M36" i="1" s="1"/>
  <c r="J54" i="1"/>
  <c r="M54" i="1" s="1"/>
  <c r="J28" i="1"/>
  <c r="M28" i="1" s="1"/>
  <c r="J47" i="1"/>
  <c r="M47" i="1" s="1"/>
  <c r="J43" i="1"/>
  <c r="M43" i="1" s="1"/>
  <c r="J39" i="1"/>
  <c r="M39" i="1" s="1"/>
  <c r="J35" i="1"/>
  <c r="M35" i="1" s="1"/>
  <c r="J31" i="1"/>
  <c r="M31" i="1" s="1"/>
  <c r="J27" i="1"/>
  <c r="M27" i="1" s="1"/>
  <c r="J40" i="1"/>
  <c r="M40" i="1" s="1"/>
  <c r="J46" i="1"/>
  <c r="M46" i="1" s="1"/>
  <c r="J42" i="1"/>
  <c r="M42" i="1" s="1"/>
  <c r="J38" i="1"/>
  <c r="M38" i="1" s="1"/>
  <c r="J34" i="1"/>
  <c r="M34" i="1" s="1"/>
  <c r="J30" i="1"/>
  <c r="M30" i="1" s="1"/>
  <c r="J26" i="1"/>
  <c r="J44" i="1"/>
  <c r="M44" i="1" s="1"/>
  <c r="J32" i="1"/>
  <c r="M32" i="1" s="1"/>
  <c r="H60" i="1"/>
  <c r="H61" i="1"/>
  <c r="H62" i="1"/>
  <c r="I62" i="1"/>
  <c r="K10" i="1"/>
  <c r="I60" i="1"/>
  <c r="I61" i="1"/>
  <c r="J63" i="1" l="1"/>
  <c r="K63" i="1" s="1"/>
  <c r="J64" i="1"/>
  <c r="K64" i="1" s="1"/>
  <c r="J65" i="1"/>
  <c r="K65" i="1" s="1"/>
  <c r="P49" i="2"/>
  <c r="N46" i="2"/>
  <c r="O47" i="2"/>
  <c r="J61" i="1"/>
  <c r="K61" i="1" s="1"/>
  <c r="J60" i="1"/>
  <c r="K60" i="1" s="1"/>
  <c r="J62" i="1"/>
  <c r="K62" i="1" s="1"/>
  <c r="M26" i="1"/>
  <c r="M69" i="1" s="1"/>
  <c r="J69" i="1"/>
  <c r="J70" i="1" s="1"/>
  <c r="K11" i="1" s="1"/>
  <c r="N50" i="1" l="1"/>
  <c r="N49" i="1"/>
  <c r="N47" i="2"/>
  <c r="O48" i="2"/>
  <c r="O49" i="2" s="1"/>
  <c r="O50" i="2" s="1"/>
  <c r="P50" i="2"/>
  <c r="N47" i="1"/>
  <c r="N45" i="1"/>
  <c r="N46" i="1"/>
  <c r="K12" i="1"/>
  <c r="N48" i="1"/>
  <c r="N26" i="1"/>
  <c r="N37" i="1"/>
  <c r="N35" i="1"/>
  <c r="N39" i="1"/>
  <c r="N40" i="1"/>
  <c r="N33" i="1"/>
  <c r="N36" i="1"/>
  <c r="N42" i="1"/>
  <c r="N27" i="1"/>
  <c r="N41" i="1"/>
  <c r="N34" i="1"/>
  <c r="N28" i="1"/>
  <c r="N31" i="1"/>
  <c r="N29" i="1"/>
  <c r="N38" i="1"/>
  <c r="N44" i="1"/>
  <c r="N32" i="1"/>
  <c r="N30" i="1"/>
  <c r="N43" i="1"/>
  <c r="N48" i="2" l="1"/>
  <c r="N49" i="2" s="1"/>
  <c r="N50" i="2" s="1"/>
  <c r="N51" i="2" s="1"/>
  <c r="P51" i="2"/>
  <c r="O51" i="2"/>
  <c r="N69" i="1"/>
  <c r="P52" i="2" l="1"/>
  <c r="O52" i="2"/>
  <c r="N52" i="2" l="1"/>
  <c r="P53" i="2"/>
  <c r="O53" i="2"/>
  <c r="N53" i="2" s="1"/>
  <c r="O54" i="2" l="1"/>
  <c r="P54" i="2"/>
  <c r="N54" i="2" l="1"/>
  <c r="P55" i="2"/>
  <c r="O55" i="2"/>
  <c r="N55" i="2" l="1"/>
  <c r="O56" i="2"/>
  <c r="P56" i="2"/>
  <c r="N56" i="2" l="1"/>
  <c r="P57" i="2"/>
  <c r="O57" i="2"/>
  <c r="N57" i="2" s="1"/>
  <c r="O58" i="2" l="1"/>
  <c r="P58" i="2"/>
  <c r="N58" i="2" l="1"/>
  <c r="P59" i="2"/>
  <c r="O59" i="2"/>
  <c r="N59" i="2" s="1"/>
  <c r="O60" i="2" l="1"/>
  <c r="P60" i="2"/>
  <c r="N60" i="2" l="1"/>
  <c r="P61" i="2"/>
  <c r="O61" i="2"/>
  <c r="N61" i="2" l="1"/>
  <c r="O62" i="2"/>
  <c r="P62" i="2"/>
  <c r="N62" i="2" l="1"/>
  <c r="P63" i="2"/>
  <c r="O63" i="2"/>
  <c r="N63" i="2" s="1"/>
  <c r="O64" i="2" l="1"/>
  <c r="P64" i="2"/>
  <c r="N64" i="2" l="1"/>
  <c r="P65" i="2"/>
  <c r="O65" i="2"/>
  <c r="N65" i="2" s="1"/>
  <c r="O66" i="2" l="1"/>
  <c r="P66" i="2"/>
  <c r="N66" i="2" l="1"/>
  <c r="P67" i="2"/>
  <c r="O67" i="2"/>
  <c r="N67" i="2" l="1"/>
  <c r="O68" i="2"/>
  <c r="P68" i="2"/>
  <c r="N68" i="2" l="1"/>
  <c r="P69" i="2"/>
  <c r="O69" i="2"/>
  <c r="N69" i="2" s="1"/>
  <c r="O70" i="2" l="1"/>
  <c r="P70" i="2"/>
  <c r="N70" i="2" l="1"/>
  <c r="P71" i="2"/>
  <c r="O71" i="2"/>
  <c r="N71" i="2" l="1"/>
  <c r="O72" i="2"/>
  <c r="P72" i="2"/>
  <c r="N72" i="2" l="1"/>
  <c r="P73" i="2"/>
  <c r="O73" i="2"/>
  <c r="N73" i="2" l="1"/>
  <c r="P74" i="2"/>
  <c r="P75" i="2" s="1"/>
  <c r="O74" i="2"/>
  <c r="O75" i="2" l="1"/>
  <c r="O76" i="2" s="1"/>
  <c r="P76" i="2"/>
  <c r="N74" i="2"/>
  <c r="N75" i="2" l="1"/>
  <c r="N76" i="2" s="1"/>
  <c r="P77" i="2"/>
  <c r="O77" i="2"/>
  <c r="N77" i="2" s="1"/>
  <c r="P78" i="2" l="1"/>
  <c r="O78" i="2"/>
  <c r="N78" i="2" s="1"/>
  <c r="O79" i="2" l="1"/>
  <c r="P79" i="2"/>
  <c r="N79" i="2" l="1"/>
  <c r="P80" i="2"/>
  <c r="O80" i="2"/>
  <c r="N80" i="2" l="1"/>
  <c r="O81" i="2"/>
  <c r="P81" i="2"/>
  <c r="N81" i="2" l="1"/>
  <c r="P82" i="2"/>
  <c r="O82" i="2"/>
  <c r="N82" i="2" s="1"/>
</calcChain>
</file>

<file path=xl/sharedStrings.xml><?xml version="1.0" encoding="utf-8"?>
<sst xmlns="http://schemas.openxmlformats.org/spreadsheetml/2006/main" count="105" uniqueCount="94">
  <si>
    <t>Maryland Offshore Wind Energy Act</t>
  </si>
  <si>
    <t>Applicant Name:</t>
  </si>
  <si>
    <t>Project Name:</t>
  </si>
  <si>
    <t>Target CO Date:</t>
  </si>
  <si>
    <t>Price Proposal Name:</t>
  </si>
  <si>
    <t>Upgrade Cost Case:</t>
  </si>
  <si>
    <t>Base Upgrade Cost:</t>
  </si>
  <si>
    <t>Price Proposal Type:</t>
  </si>
  <si>
    <t>Proposed Prices by Calendar Year (Nominal $/MWh)</t>
  </si>
  <si>
    <t>2-Part</t>
  </si>
  <si>
    <t>Project Installed Capcity:</t>
  </si>
  <si>
    <t xml:space="preserve"> MW</t>
  </si>
  <si>
    <t>North</t>
  </si>
  <si>
    <t>South</t>
  </si>
  <si>
    <t>Both</t>
  </si>
  <si>
    <t>1-Part</t>
  </si>
  <si>
    <t>Part 2 OREC Price:</t>
  </si>
  <si>
    <t>/MWh Nominal over OREC term</t>
  </si>
  <si>
    <t>Nominal Dollar OREC Price ($/MWh)</t>
  </si>
  <si>
    <t>Part 1</t>
  </si>
  <si>
    <t>Part 2</t>
  </si>
  <si>
    <t>Total</t>
  </si>
  <si>
    <t>Levelized</t>
  </si>
  <si>
    <t>Annual</t>
  </si>
  <si>
    <t>OREC Price Cap</t>
  </si>
  <si>
    <t>PV Months</t>
  </si>
  <si>
    <t>Real Discount</t>
  </si>
  <si>
    <t>Calendar Year</t>
  </si>
  <si>
    <t>Schedule Year</t>
  </si>
  <si>
    <t>Delivery Months</t>
  </si>
  <si>
    <t>Achieved CO Date</t>
  </si>
  <si>
    <t>Limit =</t>
  </si>
  <si>
    <t>/MWh</t>
  </si>
  <si>
    <t>Real Discount Rate</t>
  </si>
  <si>
    <t xml:space="preserve">PV of Months </t>
  </si>
  <si>
    <t>Sum of  (Months * Disc)</t>
  </si>
  <si>
    <t>Sum of  (Months * Price * Defl * Disc)</t>
  </si>
  <si>
    <t>OSW Application - OREC Price Bid Form</t>
  </si>
  <si>
    <t>OSW Application -OREC Price Bid Form Validation Data</t>
  </si>
  <si>
    <t>Select from list</t>
  </si>
  <si>
    <t>Price</t>
  </si>
  <si>
    <t>Req'd?</t>
  </si>
  <si>
    <t>OK's</t>
  </si>
  <si>
    <t>Flags</t>
  </si>
  <si>
    <t>Levelized OREC Price Cap Test</t>
  </si>
  <si>
    <t>L-T Cmposite T-bond rate</t>
  </si>
  <si>
    <t>Base Year</t>
  </si>
  <si>
    <t xml:space="preserve">Price Base Year </t>
  </si>
  <si>
    <t>Earliest CO Date</t>
  </si>
  <si>
    <t>Complete</t>
  </si>
  <si>
    <t xml:space="preserve"> years</t>
  </si>
  <si>
    <t>OREC Price Term:</t>
  </si>
  <si>
    <t>(For 2-Part Pricing Only):</t>
  </si>
  <si>
    <t>Capacity</t>
  </si>
  <si>
    <t>OREC Term</t>
  </si>
  <si>
    <t>Part 2 Price</t>
  </si>
  <si>
    <t>MW</t>
  </si>
  <si>
    <t>Years</t>
  </si>
  <si>
    <t>$/MWh</t>
  </si>
  <si>
    <t>All OREC prices will be rounded to closest $0.01/MWh</t>
  </si>
  <si>
    <t>Part 1 Price</t>
  </si>
  <si>
    <t>COD Delay (years)</t>
  </si>
  <si>
    <t>Sum of  (Months * Price  * Disc)</t>
  </si>
  <si>
    <t xml:space="preserve">Installed Capacity (MW) up to </t>
  </si>
  <si>
    <t>I/C Index</t>
  </si>
  <si>
    <t>ICAP Index</t>
  </si>
  <si>
    <t>OREC Price</t>
  </si>
  <si>
    <t>Rounded Price</t>
  </si>
  <si>
    <t>OSW Application - Instructions for use of OREC Price Bid Form</t>
  </si>
  <si>
    <t>Valid CO Dates</t>
  </si>
  <si>
    <t>Latest CO Date</t>
  </si>
  <si>
    <t>Evaluation Parameters</t>
  </si>
  <si>
    <t>Upgrade Cost Case Estimates (for 2-Part Pricing)</t>
  </si>
  <si>
    <t>Single part price bid</t>
  </si>
  <si>
    <t>2-Part bid, part 2 adjusted for Upgrade Cost</t>
  </si>
  <si>
    <t>Price Proposal Types</t>
  </si>
  <si>
    <t>OCS-A 0489</t>
  </si>
  <si>
    <t>OCS-A 0490</t>
  </si>
  <si>
    <t>Project occupies both Maryland lease areas</t>
  </si>
  <si>
    <t>BOEM Lease Area for Proposed Project:</t>
  </si>
  <si>
    <t>BOEM Lease Area:</t>
  </si>
  <si>
    <t>Input Ranges for Data Validation (non-statutory)</t>
  </si>
  <si>
    <t>Minimum Value</t>
  </si>
  <si>
    <t>Maximum Value</t>
  </si>
  <si>
    <t>GDP Deflator</t>
  </si>
  <si>
    <t>Annual rates:</t>
  </si>
  <si>
    <t>Inf Rate</t>
  </si>
  <si>
    <t>Version 2.0</t>
  </si>
  <si>
    <t>New upgrades</t>
  </si>
  <si>
    <t>Previous upgrades</t>
  </si>
  <si>
    <t>Cost Category</t>
  </si>
  <si>
    <t>Cost as Estimated</t>
  </si>
  <si>
    <t>Max Upgrade Cost</t>
  </si>
  <si>
    <t>Adjustment to Upgrade cost for CO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</si>
</sst>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7" formatCode="&quot;$&quot;#,##0.00_);\(&quot;$&quot;#,##0.00\)"/>
    <numFmt numFmtId="164" formatCode="0_);\(0\)"/>
    <numFmt numFmtId="165" formatCode="0.000_);\(0.000\)"/>
    <numFmt numFmtId="166" formatCode="[$-409]mmmm\ d\,\ yyyy;@"/>
    <numFmt numFmtId="167" formatCode="&quot;$&quot;#,##0.0_);\(&quot;$&quot;#,##0.0\)"/>
    <numFmt numFmtId="168" formatCode="0.0000"/>
    <numFmt numFmtId="169" formatCode="&quot;$&quot;#,##0.0000_);\(&quot;$&quot;#,##0.0000\)"/>
    <numFmt numFmtId="170" formatCode="0.000%"/>
    <numFmt numFmtId="171" formatCode="0.00_);\(0.00\)"/>
    <numFmt numFmtId="172" formatCode="0.00000_);\(0.00000\)"/>
    <numFmt numFmtId="173" formatCode="&quot;$&quot;#,##0.000_);\(&quot;$&quot;#,##0.000\)"/>
    <numFmt numFmtId="174" formatCode="&quot;$&quot;#,##0.000"/>
  </numFmts>
  <fonts count="30"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name val="Calibri"/>
      <family val="2"/>
      <scheme val="minor"/>
    </font>
    <font>
      <sz val="8"/>
      <color theme="1"/>
      <name val="Calibri"/>
      <family val="2"/>
      <scheme val="minor"/>
    </font>
    <font>
      <sz val="9"/>
      <color theme="1"/>
      <name val="Calibri"/>
      <family val="2"/>
      <scheme val="minor"/>
    </font>
    <font>
      <sz val="14"/>
      <color theme="1"/>
      <name val="Calibri"/>
      <family val="2"/>
      <scheme val="minor"/>
    </font>
    <font>
      <i/>
      <sz val="9"/>
      <color theme="1"/>
      <name val="Calibri"/>
      <family val="2"/>
      <scheme val="minor"/>
    </font>
    <font>
      <i/>
      <sz val="11"/>
      <color rgb="FFFF0000"/>
      <name val="Calibri"/>
      <family val="2"/>
      <scheme val="minor"/>
    </font>
    <font>
      <b/>
      <sz val="11"/>
      <color rgb="FF00B050"/>
      <name val="Calibri"/>
      <family val="2"/>
      <scheme val="minor"/>
    </font>
    <font>
      <b/>
      <sz val="16"/>
      <color theme="1"/>
      <name val="Calibri"/>
      <family val="2"/>
      <scheme val="minor"/>
    </font>
    <font>
      <b/>
      <i/>
      <sz val="11"/>
      <color rgb="FFFF0000"/>
      <name val="Calibri"/>
      <family val="2"/>
      <scheme val="minor"/>
    </font>
    <font>
      <u/>
      <sz val="11"/>
      <color theme="1"/>
      <name val="Calibri"/>
      <family val="2"/>
      <scheme val="minor"/>
    </font>
    <font>
      <sz val="9"/>
      <name val="Calibri"/>
      <family val="2"/>
      <scheme val="minor"/>
    </font>
    <font>
      <b/>
      <sz val="14"/>
      <color theme="1"/>
      <name val="Calibri"/>
      <family val="2"/>
      <scheme val="minor"/>
    </font>
    <font>
      <u/>
      <sz val="9"/>
      <color theme="1"/>
      <name val="Calibri"/>
      <family val="2"/>
      <scheme val="minor"/>
    </font>
    <font>
      <i/>
      <sz val="10"/>
      <color theme="1"/>
      <name val="Calibri"/>
      <family val="2"/>
      <scheme val="minor"/>
    </font>
    <font>
      <b/>
      <sz val="11"/>
      <color rgb="FFFF0000"/>
      <name val="Calibri"/>
      <family val="2"/>
      <scheme val="minor"/>
    </font>
    <font>
      <b/>
      <sz val="11"/>
      <color rgb="FF0070C0"/>
      <name val="Calibri"/>
      <family val="2"/>
      <scheme val="minor"/>
    </font>
    <font>
      <b/>
      <sz val="11"/>
      <name val="Calibri"/>
      <family val="2"/>
      <scheme val="minor"/>
    </font>
    <font>
      <sz val="10"/>
      <color theme="1"/>
      <name val="Calibri"/>
      <family val="2"/>
      <scheme val="minor"/>
    </font>
    <font>
      <u/>
      <sz val="10"/>
      <color theme="1"/>
      <name val="Calibri"/>
      <family val="2"/>
      <scheme val="minor"/>
    </font>
    <font>
      <i/>
      <sz val="11"/>
      <color rgb="FFC00000"/>
      <name val="Calibri"/>
      <family val="2"/>
      <scheme val="minor"/>
    </font>
    <font>
      <sz val="11"/>
      <color theme="1"/>
      <name val="Calibri"/>
      <family val="2"/>
      <scheme val="minor"/>
    </font>
    <font>
      <b/>
      <sz val="9"/>
      <color rgb="FFFF0000"/>
      <name val="Calibri"/>
      <family val="2"/>
      <scheme val="minor"/>
    </font>
    <font>
      <b/>
      <sz val="8"/>
      <color rgb="FFFF0000"/>
      <name val="Calibri"/>
      <family val="2"/>
      <scheme val="minor"/>
    </font>
    <font>
      <b/>
      <sz val="14"/>
      <color rgb="FFFF0000"/>
      <name val="Calibri"/>
      <family val="2"/>
      <scheme val="minor"/>
    </font>
    <font>
      <sz val="10"/>
      <color theme="3" tint="0.39997558519241921"/>
      <name val="Calibri"/>
      <family val="2"/>
      <scheme val="minor"/>
    </font>
    <font>
      <sz val="8"/>
      <color theme="3" tint="0.39997558519241921"/>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24" fillId="0" borderId="0" applyFont="0" applyFill="0" applyBorder="0" applyAlignment="0" applyProtection="0"/>
  </cellStyleXfs>
  <cellXfs count="254">
    <xf numFmtId="0" fontId="0" fillId="0" borderId="0" xfId="0"/>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applyBorder="1"/>
    <xf numFmtId="0" fontId="0" fillId="0" borderId="15" xfId="0" applyBorder="1"/>
    <xf numFmtId="0" fontId="6" fillId="0" borderId="0" xfId="0" applyFont="1" applyBorder="1"/>
    <xf numFmtId="0" fontId="0" fillId="0" borderId="0" xfId="0" applyBorder="1" applyAlignment="1">
      <alignment horizontal="left" indent="1"/>
    </xf>
    <xf numFmtId="0" fontId="0" fillId="0" borderId="11" xfId="0" applyBorder="1" applyAlignment="1">
      <alignment horizontal="center"/>
    </xf>
    <xf numFmtId="0" fontId="10" fillId="3" borderId="16" xfId="0" applyFont="1" applyFill="1" applyBorder="1" applyAlignment="1">
      <alignment horizontal="left" indent="1"/>
    </xf>
    <xf numFmtId="0" fontId="0" fillId="3" borderId="17" xfId="0" applyFill="1" applyBorder="1"/>
    <xf numFmtId="0" fontId="0" fillId="3" borderId="18" xfId="0" applyFill="1" applyBorder="1"/>
    <xf numFmtId="0" fontId="10" fillId="3" borderId="19" xfId="0" applyFont="1" applyFill="1" applyBorder="1" applyAlignment="1">
      <alignment horizontal="left" indent="1"/>
    </xf>
    <xf numFmtId="0" fontId="0" fillId="3" borderId="0" xfId="0" applyFill="1" applyBorder="1"/>
    <xf numFmtId="0" fontId="0" fillId="3" borderId="20" xfId="0" applyFill="1" applyBorder="1"/>
    <xf numFmtId="0" fontId="10" fillId="3" borderId="21" xfId="0" applyFont="1" applyFill="1" applyBorder="1" applyAlignment="1">
      <alignment horizontal="left" indent="1"/>
    </xf>
    <xf numFmtId="0" fontId="0" fillId="3" borderId="22" xfId="0" applyFill="1" applyBorder="1"/>
    <xf numFmtId="0" fontId="0" fillId="3" borderId="23" xfId="0" applyFill="1" applyBorder="1"/>
    <xf numFmtId="14" fontId="6" fillId="0" borderId="0" xfId="0" applyNumberFormat="1" applyFont="1" applyBorder="1" applyAlignment="1">
      <alignment horizontal="left"/>
    </xf>
    <xf numFmtId="0" fontId="2" fillId="0" borderId="10" xfId="0" applyFont="1" applyBorder="1"/>
    <xf numFmtId="7" fontId="3" fillId="0" borderId="0" xfId="0" applyNumberFormat="1" applyFont="1" applyBorder="1"/>
    <xf numFmtId="0" fontId="0" fillId="0" borderId="11" xfId="0" quotePrefix="1" applyBorder="1"/>
    <xf numFmtId="0" fontId="3" fillId="0" borderId="0" xfId="0" applyFont="1" applyBorder="1"/>
    <xf numFmtId="0" fontId="2" fillId="0" borderId="0" xfId="0" applyFont="1" applyBorder="1"/>
    <xf numFmtId="167" fontId="0" fillId="0" borderId="11" xfId="0" applyNumberFormat="1" applyBorder="1" applyAlignment="1"/>
    <xf numFmtId="0" fontId="0" fillId="0" borderId="0" xfId="0" applyBorder="1" applyAlignment="1">
      <alignment horizontal="right"/>
    </xf>
    <xf numFmtId="5" fontId="3" fillId="0" borderId="11" xfId="0" applyNumberFormat="1" applyFont="1" applyBorder="1" applyAlignment="1">
      <alignment horizontal="center"/>
    </xf>
    <xf numFmtId="0" fontId="0" fillId="4" borderId="0" xfId="0" applyFill="1"/>
    <xf numFmtId="0" fontId="0" fillId="4" borderId="0" xfId="0" applyFill="1" applyAlignment="1">
      <alignment horizontal="right"/>
    </xf>
    <xf numFmtId="0" fontId="5" fillId="4" borderId="0" xfId="0" applyFont="1" applyFill="1"/>
    <xf numFmtId="0" fontId="12" fillId="4" borderId="0" xfId="0" applyFont="1" applyFill="1"/>
    <xf numFmtId="0" fontId="2" fillId="4" borderId="0" xfId="0" applyFont="1" applyFill="1"/>
    <xf numFmtId="0" fontId="0" fillId="4" borderId="0" xfId="0" quotePrefix="1" applyFill="1"/>
    <xf numFmtId="0" fontId="16" fillId="4" borderId="0" xfId="0" applyFont="1" applyFill="1" applyAlignment="1">
      <alignment horizontal="center"/>
    </xf>
    <xf numFmtId="169" fontId="6" fillId="4" borderId="0" xfId="0" applyNumberFormat="1" applyFont="1" applyFill="1"/>
    <xf numFmtId="0" fontId="6" fillId="4" borderId="0" xfId="0" applyFont="1" applyFill="1"/>
    <xf numFmtId="0" fontId="0" fillId="4" borderId="0" xfId="0" applyFill="1" applyAlignment="1">
      <alignment horizontal="center"/>
    </xf>
    <xf numFmtId="0" fontId="13" fillId="4" borderId="0" xfId="0" applyFont="1" applyFill="1" applyAlignment="1">
      <alignment horizontal="center"/>
    </xf>
    <xf numFmtId="0" fontId="0" fillId="4" borderId="5" xfId="0" applyFill="1" applyBorder="1" applyAlignment="1">
      <alignment horizontal="center"/>
    </xf>
    <xf numFmtId="39" fontId="5" fillId="4" borderId="5" xfId="0" applyNumberFormat="1" applyFont="1" applyFill="1" applyBorder="1" applyAlignment="1">
      <alignment horizontal="right"/>
    </xf>
    <xf numFmtId="0" fontId="0" fillId="4" borderId="7" xfId="0" applyFill="1" applyBorder="1" applyAlignment="1">
      <alignment horizontal="center"/>
    </xf>
    <xf numFmtId="39" fontId="5" fillId="4" borderId="7" xfId="0" applyNumberFormat="1" applyFont="1" applyFill="1" applyBorder="1" applyAlignment="1">
      <alignment horizontal="right"/>
    </xf>
    <xf numFmtId="0" fontId="0" fillId="4" borderId="6" xfId="0" applyFill="1" applyBorder="1" applyAlignment="1">
      <alignment horizontal="center"/>
    </xf>
    <xf numFmtId="39" fontId="5" fillId="4" borderId="6" xfId="0" applyNumberFormat="1" applyFont="1" applyFill="1" applyBorder="1" applyAlignment="1">
      <alignment horizontal="right"/>
    </xf>
    <xf numFmtId="0" fontId="0" fillId="4" borderId="8" xfId="0" applyFill="1" applyBorder="1"/>
    <xf numFmtId="0" fontId="6" fillId="4" borderId="14" xfId="0" applyFont="1" applyFill="1" applyBorder="1"/>
    <xf numFmtId="39" fontId="6" fillId="4" borderId="14" xfId="0" applyNumberFormat="1" applyFont="1" applyFill="1" applyBorder="1" applyAlignment="1">
      <alignment horizontal="center"/>
    </xf>
    <xf numFmtId="0" fontId="0" fillId="4" borderId="14" xfId="0" applyFill="1" applyBorder="1"/>
    <xf numFmtId="0" fontId="0" fillId="4" borderId="9" xfId="0" applyFill="1" applyBorder="1"/>
    <xf numFmtId="0" fontId="0" fillId="4" borderId="10" xfId="0" applyFill="1" applyBorder="1"/>
    <xf numFmtId="0" fontId="6" fillId="4" borderId="0" xfId="0" applyFont="1" applyFill="1" applyBorder="1"/>
    <xf numFmtId="7" fontId="5" fillId="4" borderId="0" xfId="0" applyNumberFormat="1" applyFont="1" applyFill="1" applyBorder="1" applyAlignment="1">
      <alignment horizontal="right"/>
    </xf>
    <xf numFmtId="0" fontId="0" fillId="4" borderId="0" xfId="0" applyFill="1" applyBorder="1"/>
    <xf numFmtId="7" fontId="5" fillId="4" borderId="11" xfId="0" applyNumberFormat="1" applyFont="1" applyFill="1" applyBorder="1" applyAlignment="1">
      <alignment horizontal="right"/>
    </xf>
    <xf numFmtId="39" fontId="5" fillId="4" borderId="0" xfId="0" applyNumberFormat="1" applyFont="1" applyFill="1" applyBorder="1" applyAlignment="1">
      <alignment horizontal="right"/>
    </xf>
    <xf numFmtId="7" fontId="0" fillId="4" borderId="0" xfId="0" applyNumberFormat="1" applyFill="1" applyBorder="1" applyAlignment="1">
      <alignment horizontal="right"/>
    </xf>
    <xf numFmtId="7" fontId="0" fillId="4" borderId="0" xfId="0" applyNumberFormat="1" applyFill="1" applyBorder="1"/>
    <xf numFmtId="0" fontId="0" fillId="4" borderId="11" xfId="0" applyFill="1" applyBorder="1"/>
    <xf numFmtId="0" fontId="0" fillId="4" borderId="12" xfId="0" applyFill="1" applyBorder="1"/>
    <xf numFmtId="0" fontId="0" fillId="4" borderId="15" xfId="0" applyFill="1" applyBorder="1"/>
    <xf numFmtId="39" fontId="5" fillId="4" borderId="15" xfId="0" applyNumberFormat="1" applyFont="1" applyFill="1" applyBorder="1" applyAlignment="1">
      <alignment horizontal="right"/>
    </xf>
    <xf numFmtId="7" fontId="0" fillId="4" borderId="15" xfId="0" applyNumberFormat="1" applyFill="1" applyBorder="1"/>
    <xf numFmtId="0" fontId="0" fillId="4" borderId="13" xfId="0" applyFill="1" applyBorder="1"/>
    <xf numFmtId="7" fontId="0" fillId="4" borderId="11" xfId="0" applyNumberFormat="1" applyFill="1" applyBorder="1" applyAlignment="1">
      <alignment horizontal="right"/>
    </xf>
    <xf numFmtId="7" fontId="0" fillId="4" borderId="13" xfId="0" applyNumberFormat="1" applyFill="1" applyBorder="1"/>
    <xf numFmtId="0" fontId="6" fillId="4" borderId="8" xfId="0" applyFont="1" applyFill="1" applyBorder="1" applyAlignment="1">
      <alignment horizontal="left" indent="1"/>
    </xf>
    <xf numFmtId="0" fontId="0" fillId="0" borderId="0" xfId="0" applyBorder="1" applyAlignment="1">
      <alignment horizontal="center"/>
    </xf>
    <xf numFmtId="0" fontId="0" fillId="5" borderId="8" xfId="0" applyFill="1" applyBorder="1"/>
    <xf numFmtId="0" fontId="0" fillId="5" borderId="14" xfId="0" applyFill="1" applyBorder="1"/>
    <xf numFmtId="0" fontId="0" fillId="5" borderId="9" xfId="0" applyFill="1" applyBorder="1"/>
    <xf numFmtId="0" fontId="0" fillId="5" borderId="10" xfId="0" applyFill="1" applyBorder="1"/>
    <xf numFmtId="0" fontId="7" fillId="5" borderId="11" xfId="0" applyFont="1" applyFill="1" applyBorder="1" applyAlignment="1">
      <alignment horizontal="center"/>
    </xf>
    <xf numFmtId="0" fontId="11" fillId="5" borderId="11" xfId="0" applyFont="1" applyFill="1" applyBorder="1" applyAlignment="1">
      <alignment horizontal="center"/>
    </xf>
    <xf numFmtId="0" fontId="0" fillId="5" borderId="0" xfId="0" applyFill="1" applyBorder="1"/>
    <xf numFmtId="14" fontId="6" fillId="5" borderId="0" xfId="0" applyNumberFormat="1" applyFont="1" applyFill="1" applyBorder="1"/>
    <xf numFmtId="0" fontId="0" fillId="5" borderId="11" xfId="0" applyFill="1" applyBorder="1"/>
    <xf numFmtId="0" fontId="4" fillId="5" borderId="0" xfId="0" applyFont="1" applyFill="1" applyBorder="1" applyAlignment="1"/>
    <xf numFmtId="0" fontId="1" fillId="5" borderId="0" xfId="0" applyFont="1" applyFill="1" applyBorder="1" applyAlignment="1">
      <alignment horizontal="left" indent="1"/>
    </xf>
    <xf numFmtId="0" fontId="8" fillId="5" borderId="0" xfId="0" applyFont="1" applyFill="1" applyBorder="1" applyAlignment="1">
      <alignment horizontal="left" indent="1"/>
    </xf>
    <xf numFmtId="0" fontId="0" fillId="5" borderId="0" xfId="0" applyFont="1" applyFill="1" applyBorder="1" applyAlignment="1">
      <alignment horizontal="left"/>
    </xf>
    <xf numFmtId="0" fontId="0" fillId="5" borderId="0" xfId="0" applyFill="1" applyBorder="1" applyAlignment="1">
      <alignment horizontal="left" indent="1"/>
    </xf>
    <xf numFmtId="0" fontId="0" fillId="5" borderId="0" xfId="0" quotePrefix="1" applyFill="1" applyBorder="1"/>
    <xf numFmtId="0" fontId="9" fillId="5" borderId="0" xfId="0" applyFont="1" applyFill="1" applyBorder="1"/>
    <xf numFmtId="7" fontId="8" fillId="5" borderId="0" xfId="0" applyNumberFormat="1" applyFont="1" applyFill="1" applyBorder="1" applyAlignment="1">
      <alignment horizontal="right"/>
    </xf>
    <xf numFmtId="0" fontId="8" fillId="5" borderId="0" xfId="0" quotePrefix="1" applyFont="1" applyFill="1" applyBorder="1"/>
    <xf numFmtId="10" fontId="5" fillId="5" borderId="0" xfId="0" applyNumberFormat="1" applyFont="1" applyFill="1" applyBorder="1" applyAlignment="1">
      <alignment horizontal="center"/>
    </xf>
    <xf numFmtId="0" fontId="0" fillId="5" borderId="11" xfId="0" applyFill="1" applyBorder="1" applyAlignment="1">
      <alignment horizontal="center"/>
    </xf>
    <xf numFmtId="0" fontId="0" fillId="5" borderId="1" xfId="0" applyFill="1" applyBorder="1" applyAlignment="1">
      <alignment horizontal="center"/>
    </xf>
    <xf numFmtId="164" fontId="0" fillId="5" borderId="0" xfId="0" applyNumberFormat="1" applyFill="1" applyBorder="1" applyAlignment="1">
      <alignment horizontal="center"/>
    </xf>
    <xf numFmtId="0" fontId="0" fillId="5" borderId="0" xfId="0" applyFill="1"/>
    <xf numFmtId="0" fontId="2" fillId="5" borderId="0" xfId="0" applyFont="1" applyFill="1" applyBorder="1" applyAlignment="1">
      <alignment horizontal="left"/>
    </xf>
    <xf numFmtId="39" fontId="5" fillId="5" borderId="0" xfId="0" applyNumberFormat="1" applyFont="1" applyFill="1" applyBorder="1" applyAlignment="1">
      <alignment horizontal="right"/>
    </xf>
    <xf numFmtId="0" fontId="0" fillId="5" borderId="2" xfId="0" applyFill="1" applyBorder="1" applyAlignment="1">
      <alignment horizontal="right"/>
    </xf>
    <xf numFmtId="5" fontId="0" fillId="5" borderId="3" xfId="0" applyNumberFormat="1" applyFill="1" applyBorder="1"/>
    <xf numFmtId="0" fontId="0" fillId="5" borderId="2" xfId="0" applyFill="1" applyBorder="1" applyAlignment="1">
      <alignment horizontal="left" indent="4"/>
    </xf>
    <xf numFmtId="0" fontId="0" fillId="5" borderId="3" xfId="0" applyFill="1" applyBorder="1"/>
    <xf numFmtId="0" fontId="0" fillId="5" borderId="12" xfId="0" applyFill="1" applyBorder="1"/>
    <xf numFmtId="0" fontId="0" fillId="5" borderId="15" xfId="0" applyFill="1" applyBorder="1"/>
    <xf numFmtId="0" fontId="0" fillId="5" borderId="13" xfId="0" applyFill="1" applyBorder="1"/>
    <xf numFmtId="7" fontId="0" fillId="5" borderId="0" xfId="0" applyNumberFormat="1" applyFill="1" applyBorder="1" applyAlignment="1">
      <alignment horizontal="right"/>
    </xf>
    <xf numFmtId="7" fontId="0" fillId="5" borderId="11" xfId="0" applyNumberFormat="1" applyFill="1" applyBorder="1" applyAlignment="1">
      <alignment horizontal="right"/>
    </xf>
    <xf numFmtId="7" fontId="0" fillId="5" borderId="0" xfId="0" applyNumberFormat="1" applyFill="1" applyBorder="1"/>
    <xf numFmtId="7" fontId="0" fillId="5" borderId="8" xfId="0" applyNumberFormat="1" applyFont="1" applyFill="1" applyBorder="1" applyAlignment="1">
      <alignment horizontal="right"/>
    </xf>
    <xf numFmtId="7" fontId="0" fillId="5" borderId="14" xfId="0" applyNumberFormat="1" applyFont="1" applyFill="1" applyBorder="1" applyAlignment="1">
      <alignment horizontal="right"/>
    </xf>
    <xf numFmtId="7" fontId="0" fillId="5" borderId="9" xfId="0" applyNumberFormat="1" applyFont="1" applyFill="1" applyBorder="1" applyAlignment="1">
      <alignment horizontal="right"/>
    </xf>
    <xf numFmtId="7" fontId="0" fillId="5" borderId="10" xfId="0" applyNumberFormat="1" applyFont="1" applyFill="1" applyBorder="1" applyAlignment="1">
      <alignment horizontal="right"/>
    </xf>
    <xf numFmtId="7" fontId="0" fillId="5" borderId="0" xfId="0" applyNumberFormat="1" applyFont="1" applyFill="1" applyBorder="1" applyAlignment="1">
      <alignment horizontal="right"/>
    </xf>
    <xf numFmtId="7" fontId="0" fillId="5" borderId="11" xfId="0" applyNumberFormat="1" applyFont="1" applyFill="1" applyBorder="1" applyAlignment="1">
      <alignment horizontal="right"/>
    </xf>
    <xf numFmtId="7" fontId="0" fillId="5" borderId="12" xfId="0" applyNumberFormat="1" applyFont="1" applyFill="1" applyBorder="1" applyAlignment="1">
      <alignment horizontal="right"/>
    </xf>
    <xf numFmtId="7" fontId="0" fillId="5" borderId="15" xfId="0" applyNumberFormat="1" applyFont="1" applyFill="1" applyBorder="1" applyAlignment="1">
      <alignment horizontal="right"/>
    </xf>
    <xf numFmtId="7" fontId="0" fillId="5" borderId="13" xfId="0" applyNumberFormat="1" applyFont="1" applyFill="1" applyBorder="1" applyAlignment="1">
      <alignment horizontal="right"/>
    </xf>
    <xf numFmtId="0" fontId="0" fillId="5" borderId="6" xfId="0" applyFill="1" applyBorder="1" applyAlignment="1">
      <alignment horizontal="center" wrapText="1"/>
    </xf>
    <xf numFmtId="37" fontId="0" fillId="4" borderId="0" xfId="0" applyNumberFormat="1" applyFill="1"/>
    <xf numFmtId="0" fontId="3" fillId="0" borderId="1" xfId="0" applyFont="1" applyBorder="1" applyAlignment="1">
      <alignment horizontal="center"/>
    </xf>
    <xf numFmtId="39" fontId="18" fillId="2" borderId="5" xfId="0" applyNumberFormat="1" applyFont="1" applyFill="1" applyBorder="1" applyAlignment="1" applyProtection="1">
      <protection locked="0"/>
    </xf>
    <xf numFmtId="0" fontId="18" fillId="2" borderId="1" xfId="0" applyFont="1" applyFill="1" applyBorder="1" applyAlignment="1" applyProtection="1">
      <alignment horizontal="center"/>
      <protection locked="0"/>
    </xf>
    <xf numFmtId="167" fontId="20" fillId="5" borderId="0" xfId="0" applyNumberFormat="1" applyFont="1" applyFill="1" applyBorder="1"/>
    <xf numFmtId="7" fontId="18" fillId="2" borderId="1" xfId="0" applyNumberFormat="1" applyFont="1" applyFill="1" applyBorder="1" applyAlignment="1" applyProtection="1">
      <protection locked="0"/>
    </xf>
    <xf numFmtId="7" fontId="18" fillId="2" borderId="6" xfId="0" applyNumberFormat="1" applyFont="1" applyFill="1" applyBorder="1" applyAlignment="1" applyProtection="1">
      <protection locked="0"/>
    </xf>
    <xf numFmtId="0" fontId="3" fillId="0" borderId="11" xfId="0" applyFont="1" applyBorder="1" applyAlignment="1">
      <alignment horizontal="center"/>
    </xf>
    <xf numFmtId="167" fontId="3" fillId="0" borderId="11" xfId="0" applyNumberFormat="1" applyFont="1" applyBorder="1" applyAlignment="1">
      <alignment horizontal="center"/>
    </xf>
    <xf numFmtId="0" fontId="0" fillId="5" borderId="8" xfId="0" applyFill="1" applyBorder="1" applyAlignment="1">
      <alignment horizontal="center" wrapText="1"/>
    </xf>
    <xf numFmtId="164" fontId="6" fillId="5" borderId="0" xfId="0" applyNumberFormat="1" applyFont="1" applyFill="1" applyBorder="1" applyAlignment="1">
      <alignment horizontal="center"/>
    </xf>
    <xf numFmtId="39" fontId="0" fillId="5" borderId="3" xfId="0" quotePrefix="1" applyNumberFormat="1" applyFont="1" applyFill="1" applyBorder="1" applyAlignment="1">
      <alignment horizontal="left"/>
    </xf>
    <xf numFmtId="0" fontId="0" fillId="5" borderId="7" xfId="0" applyFill="1" applyBorder="1" applyAlignment="1">
      <alignment horizontal="center" wrapText="1"/>
    </xf>
    <xf numFmtId="0" fontId="17" fillId="5" borderId="0" xfId="0" applyFont="1" applyFill="1" applyBorder="1" applyAlignment="1">
      <alignment horizontal="left" indent="1"/>
    </xf>
    <xf numFmtId="0" fontId="0" fillId="5" borderId="5" xfId="0" applyFill="1" applyBorder="1" applyAlignment="1">
      <alignment horizontal="center"/>
    </xf>
    <xf numFmtId="0" fontId="0" fillId="5" borderId="7" xfId="0" applyFill="1" applyBorder="1" applyAlignment="1">
      <alignment horizontal="center"/>
    </xf>
    <xf numFmtId="0" fontId="0" fillId="5" borderId="6" xfId="0" applyFill="1" applyBorder="1" applyAlignment="1">
      <alignment horizontal="center"/>
    </xf>
    <xf numFmtId="164" fontId="0" fillId="5" borderId="5" xfId="0" applyNumberFormat="1" applyFill="1" applyBorder="1" applyAlignment="1">
      <alignment horizontal="center"/>
    </xf>
    <xf numFmtId="164" fontId="0" fillId="5" borderId="7" xfId="0" applyNumberFormat="1" applyFill="1" applyBorder="1" applyAlignment="1">
      <alignment horizontal="center"/>
    </xf>
    <xf numFmtId="164" fontId="0" fillId="5" borderId="6" xfId="0" applyNumberFormat="1" applyFill="1" applyBorder="1" applyAlignment="1">
      <alignment horizontal="center"/>
    </xf>
    <xf numFmtId="164" fontId="6" fillId="5" borderId="1" xfId="0" applyNumberFormat="1" applyFont="1" applyFill="1" applyBorder="1" applyAlignment="1">
      <alignment horizontal="center"/>
    </xf>
    <xf numFmtId="7" fontId="0" fillId="5" borderId="8" xfId="0" applyNumberFormat="1" applyFill="1" applyBorder="1" applyAlignment="1">
      <alignment horizontal="right"/>
    </xf>
    <xf numFmtId="7" fontId="0" fillId="5" borderId="14" xfId="0" applyNumberFormat="1" applyFill="1" applyBorder="1" applyAlignment="1">
      <alignment horizontal="right"/>
    </xf>
    <xf numFmtId="7" fontId="0" fillId="5" borderId="9" xfId="0" applyNumberFormat="1" applyFill="1" applyBorder="1" applyAlignment="1">
      <alignment horizontal="right"/>
    </xf>
    <xf numFmtId="7" fontId="0" fillId="5" borderId="10" xfId="0" applyNumberFormat="1" applyFill="1" applyBorder="1" applyAlignment="1">
      <alignment horizontal="right"/>
    </xf>
    <xf numFmtId="7" fontId="0" fillId="5" borderId="12" xfId="0" applyNumberFormat="1" applyFill="1" applyBorder="1" applyAlignment="1">
      <alignment horizontal="right"/>
    </xf>
    <xf numFmtId="7" fontId="0" fillId="5" borderId="15" xfId="0" applyNumberFormat="1" applyFill="1" applyBorder="1" applyAlignment="1">
      <alignment horizontal="right"/>
    </xf>
    <xf numFmtId="7" fontId="0" fillId="5" borderId="13" xfId="0" applyNumberFormat="1" applyFill="1" applyBorder="1" applyAlignment="1">
      <alignment horizontal="right"/>
    </xf>
    <xf numFmtId="165" fontId="6" fillId="5" borderId="8" xfId="0" applyNumberFormat="1" applyFont="1" applyFill="1" applyBorder="1"/>
    <xf numFmtId="165" fontId="6" fillId="5" borderId="9" xfId="0" applyNumberFormat="1" applyFont="1" applyFill="1" applyBorder="1"/>
    <xf numFmtId="165" fontId="6" fillId="5" borderId="10" xfId="0" applyNumberFormat="1" applyFont="1" applyFill="1" applyBorder="1"/>
    <xf numFmtId="165" fontId="6" fillId="5" borderId="11" xfId="0" applyNumberFormat="1" applyFont="1" applyFill="1" applyBorder="1"/>
    <xf numFmtId="165" fontId="6" fillId="5" borderId="12" xfId="0" applyNumberFormat="1" applyFont="1" applyFill="1" applyBorder="1"/>
    <xf numFmtId="165" fontId="6" fillId="5" borderId="13" xfId="0" applyNumberFormat="1" applyFont="1" applyFill="1" applyBorder="1"/>
    <xf numFmtId="7" fontId="18" fillId="5" borderId="0" xfId="0" applyNumberFormat="1" applyFont="1" applyFill="1" applyBorder="1" applyAlignment="1" applyProtection="1">
      <protection locked="0"/>
    </xf>
    <xf numFmtId="0" fontId="6" fillId="4" borderId="14" xfId="0" applyFont="1" applyFill="1" applyBorder="1" applyAlignment="1">
      <alignment horizontal="left"/>
    </xf>
    <xf numFmtId="0" fontId="6" fillId="4" borderId="0" xfId="0" applyFont="1" applyFill="1" applyBorder="1" applyAlignment="1">
      <alignment horizontal="left"/>
    </xf>
    <xf numFmtId="0" fontId="0" fillId="4" borderId="0" xfId="0" applyFill="1" applyBorder="1" applyAlignment="1">
      <alignment horizontal="left"/>
    </xf>
    <xf numFmtId="0" fontId="2" fillId="4" borderId="0" xfId="0" applyFont="1" applyFill="1" applyBorder="1"/>
    <xf numFmtId="0" fontId="0" fillId="4" borderId="0" xfId="0" applyFill="1" applyBorder="1" applyAlignment="1">
      <alignment horizontal="right"/>
    </xf>
    <xf numFmtId="0" fontId="22" fillId="0" borderId="0" xfId="0" applyFont="1" applyBorder="1" applyAlignment="1"/>
    <xf numFmtId="0" fontId="14" fillId="4" borderId="0" xfId="0" applyFont="1" applyFill="1" applyBorder="1" applyAlignment="1">
      <alignment horizontal="center"/>
    </xf>
    <xf numFmtId="0" fontId="6" fillId="4" borderId="0" xfId="0" applyFont="1" applyFill="1" applyBorder="1" applyAlignment="1">
      <alignment horizontal="center"/>
    </xf>
    <xf numFmtId="166" fontId="6" fillId="4" borderId="0" xfId="0" applyNumberFormat="1" applyFont="1" applyFill="1" applyBorder="1" applyAlignment="1">
      <alignment horizontal="left" indent="1"/>
    </xf>
    <xf numFmtId="0" fontId="0" fillId="0" borderId="2" xfId="0" applyBorder="1" applyAlignment="1"/>
    <xf numFmtId="0" fontId="0" fillId="0" borderId="3" xfId="0" applyBorder="1" applyAlignment="1"/>
    <xf numFmtId="0" fontId="0" fillId="0" borderId="4" xfId="0" applyBorder="1" applyAlignment="1"/>
    <xf numFmtId="0" fontId="2" fillId="0" borderId="0" xfId="0" applyFont="1"/>
    <xf numFmtId="14" fontId="3" fillId="0" borderId="0" xfId="0" applyNumberFormat="1" applyFont="1" applyBorder="1" applyAlignment="1">
      <alignment horizontal="right"/>
    </xf>
    <xf numFmtId="0" fontId="0" fillId="0" borderId="2" xfId="0" applyBorder="1"/>
    <xf numFmtId="0" fontId="0" fillId="0" borderId="4" xfId="0" applyBorder="1"/>
    <xf numFmtId="0" fontId="3" fillId="0" borderId="0" xfId="0" applyFont="1" applyBorder="1" applyAlignment="1">
      <alignment horizontal="right"/>
    </xf>
    <xf numFmtId="0" fontId="4" fillId="0" borderId="0" xfId="0" applyFont="1" applyFill="1" applyBorder="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9" xfId="0" applyBorder="1"/>
    <xf numFmtId="0" fontId="0" fillId="0" borderId="8" xfId="0" applyBorder="1"/>
    <xf numFmtId="164" fontId="4" fillId="0" borderId="8" xfId="0" applyNumberFormat="1" applyFont="1" applyBorder="1" applyAlignment="1">
      <alignment horizontal="center"/>
    </xf>
    <xf numFmtId="164" fontId="3" fillId="0" borderId="14" xfId="0" applyNumberFormat="1" applyFont="1" applyBorder="1" applyAlignment="1">
      <alignment horizontal="center"/>
    </xf>
    <xf numFmtId="5" fontId="3" fillId="0" borderId="14" xfId="0" applyNumberFormat="1" applyFont="1" applyBorder="1" applyAlignment="1">
      <alignment horizontal="center"/>
    </xf>
    <xf numFmtId="5" fontId="3" fillId="0" borderId="9" xfId="0" applyNumberFormat="1" applyFont="1" applyBorder="1" applyAlignment="1">
      <alignment horizontal="center"/>
    </xf>
    <xf numFmtId="164" fontId="4" fillId="0" borderId="12" xfId="0" applyNumberFormat="1" applyFont="1" applyBorder="1" applyAlignment="1">
      <alignment horizontal="center"/>
    </xf>
    <xf numFmtId="164" fontId="3" fillId="0" borderId="15" xfId="0" applyNumberFormat="1" applyFont="1" applyBorder="1" applyAlignment="1">
      <alignment horizontal="center"/>
    </xf>
    <xf numFmtId="5" fontId="3" fillId="0" borderId="15" xfId="0" applyNumberFormat="1" applyFont="1" applyBorder="1" applyAlignment="1">
      <alignment horizontal="center"/>
    </xf>
    <xf numFmtId="5" fontId="3" fillId="0" borderId="13" xfId="0" applyNumberFormat="1" applyFont="1" applyBorder="1" applyAlignment="1">
      <alignment horizontal="center"/>
    </xf>
    <xf numFmtId="0" fontId="23" fillId="0" borderId="0" xfId="0" applyFont="1"/>
    <xf numFmtId="0" fontId="23" fillId="0" borderId="0" xfId="0" applyFont="1" applyAlignment="1">
      <alignment horizontal="left" indent="1"/>
    </xf>
    <xf numFmtId="0" fontId="0" fillId="0" borderId="0" xfId="0" applyAlignment="1">
      <alignment horizontal="left"/>
    </xf>
    <xf numFmtId="0" fontId="0" fillId="0" borderId="0" xfId="0" applyAlignment="1">
      <alignment horizontal="right"/>
    </xf>
    <xf numFmtId="170" fontId="3" fillId="0" borderId="0" xfId="0" applyNumberFormat="1" applyFont="1" applyBorder="1"/>
    <xf numFmtId="0" fontId="0" fillId="0" borderId="0" xfId="0" applyBorder="1" applyAlignment="1">
      <alignment horizontal="left"/>
    </xf>
    <xf numFmtId="170" fontId="6" fillId="4" borderId="0" xfId="1" applyNumberFormat="1" applyFont="1" applyFill="1"/>
    <xf numFmtId="0" fontId="6" fillId="4" borderId="0" xfId="0" applyFont="1" applyFill="1" applyAlignment="1">
      <alignment horizontal="right"/>
    </xf>
    <xf numFmtId="0" fontId="25" fillId="5" borderId="0" xfId="0" applyFont="1" applyFill="1" applyBorder="1"/>
    <xf numFmtId="0" fontId="26" fillId="0" borderId="0" xfId="0" applyFont="1" applyBorder="1"/>
    <xf numFmtId="0" fontId="25" fillId="0" borderId="0" xfId="0" applyFont="1" applyBorder="1"/>
    <xf numFmtId="0" fontId="27" fillId="5" borderId="0" xfId="0" applyFont="1" applyFill="1" applyBorder="1" applyAlignment="1">
      <alignment horizontal="center"/>
    </xf>
    <xf numFmtId="0" fontId="0" fillId="0" borderId="0" xfId="0" applyFill="1" applyBorder="1"/>
    <xf numFmtId="0" fontId="0" fillId="0" borderId="4" xfId="0" applyFill="1" applyBorder="1"/>
    <xf numFmtId="171" fontId="0" fillId="4" borderId="0" xfId="0" applyNumberFormat="1" applyFill="1"/>
    <xf numFmtId="171" fontId="3" fillId="0" borderId="0" xfId="0" applyNumberFormat="1" applyFont="1" applyBorder="1"/>
    <xf numFmtId="170" fontId="28" fillId="0" borderId="0" xfId="1" applyNumberFormat="1" applyFont="1"/>
    <xf numFmtId="172" fontId="29" fillId="0" borderId="0" xfId="1" applyNumberFormat="1" applyFont="1"/>
    <xf numFmtId="0" fontId="4" fillId="0" borderId="10" xfId="0" applyFont="1" applyFill="1" applyBorder="1" applyAlignment="1">
      <alignment horizontal="left" indent="1"/>
    </xf>
    <xf numFmtId="0" fontId="0" fillId="0" borderId="11" xfId="0" applyFill="1" applyBorder="1"/>
    <xf numFmtId="0" fontId="4" fillId="0" borderId="12" xfId="0" applyFont="1" applyFill="1" applyBorder="1" applyAlignment="1">
      <alignment horizontal="left" indent="1"/>
    </xf>
    <xf numFmtId="0" fontId="0" fillId="0" borderId="13" xfId="0" applyFill="1" applyBorder="1"/>
    <xf numFmtId="0" fontId="4" fillId="0" borderId="2" xfId="0" applyFont="1" applyFill="1" applyBorder="1" applyAlignment="1">
      <alignment horizontal="left"/>
    </xf>
    <xf numFmtId="173" fontId="4" fillId="0" borderId="2" xfId="0" applyNumberFormat="1" applyFont="1" applyFill="1" applyBorder="1" applyAlignment="1">
      <alignment horizontal="center"/>
    </xf>
    <xf numFmtId="173" fontId="3" fillId="0" borderId="0" xfId="0" applyNumberFormat="1" applyFont="1" applyFill="1" applyBorder="1" applyAlignment="1">
      <alignment horizontal="center"/>
    </xf>
    <xf numFmtId="173" fontId="3" fillId="0" borderId="15" xfId="0" applyNumberFormat="1" applyFont="1" applyFill="1" applyBorder="1" applyAlignment="1">
      <alignment horizontal="center"/>
    </xf>
    <xf numFmtId="173" fontId="4" fillId="0" borderId="3" xfId="0" applyNumberFormat="1" applyFont="1" applyFill="1" applyBorder="1" applyAlignment="1">
      <alignment horizontal="center"/>
    </xf>
    <xf numFmtId="173" fontId="4" fillId="0" borderId="4" xfId="0" applyNumberFormat="1" applyFont="1" applyFill="1" applyBorder="1" applyAlignment="1">
      <alignment horizontal="center"/>
    </xf>
    <xf numFmtId="173" fontId="4" fillId="0" borderId="11" xfId="0" applyNumberFormat="1" applyFont="1" applyFill="1" applyBorder="1" applyAlignment="1">
      <alignment horizontal="center"/>
    </xf>
    <xf numFmtId="173" fontId="4" fillId="0" borderId="13" xfId="0" applyNumberFormat="1" applyFont="1" applyFill="1" applyBorder="1" applyAlignment="1">
      <alignment horizontal="center"/>
    </xf>
    <xf numFmtId="173" fontId="4" fillId="0" borderId="10" xfId="0" applyNumberFormat="1" applyFont="1" applyFill="1" applyBorder="1" applyAlignment="1">
      <alignment horizontal="center"/>
    </xf>
    <xf numFmtId="173" fontId="4" fillId="0" borderId="12" xfId="0" applyNumberFormat="1" applyFont="1" applyFill="1" applyBorder="1" applyAlignment="1">
      <alignment horizontal="center"/>
    </xf>
    <xf numFmtId="173" fontId="20" fillId="5" borderId="0" xfId="0" applyNumberFormat="1" applyFont="1" applyFill="1" applyBorder="1"/>
    <xf numFmtId="165" fontId="0" fillId="4" borderId="0" xfId="0" applyNumberFormat="1" applyFill="1"/>
    <xf numFmtId="174" fontId="0" fillId="4" borderId="0" xfId="0" applyNumberFormat="1" applyFill="1"/>
    <xf numFmtId="174" fontId="0" fillId="4" borderId="14" xfId="0" applyNumberFormat="1" applyFill="1" applyBorder="1"/>
    <xf numFmtId="168" fontId="3" fillId="0" borderId="0" xfId="0" applyNumberFormat="1" applyFont="1" applyFill="1" applyBorder="1"/>
    <xf numFmtId="0" fontId="7" fillId="0" borderId="8" xfId="0" applyFont="1" applyBorder="1" applyAlignment="1">
      <alignment horizontal="center"/>
    </xf>
    <xf numFmtId="0" fontId="7" fillId="0" borderId="14" xfId="0" applyFont="1" applyBorder="1" applyAlignment="1">
      <alignment horizontal="center"/>
    </xf>
    <xf numFmtId="0" fontId="7" fillId="0" borderId="9" xfId="0" applyFont="1" applyBorder="1" applyAlignment="1">
      <alignment horizontal="center"/>
    </xf>
    <xf numFmtId="0" fontId="15" fillId="0" borderId="10" xfId="0" applyFont="1" applyBorder="1" applyAlignment="1">
      <alignment horizontal="center"/>
    </xf>
    <xf numFmtId="0" fontId="15" fillId="0" borderId="0" xfId="0" applyFont="1" applyBorder="1" applyAlignment="1">
      <alignment horizontal="center"/>
    </xf>
    <xf numFmtId="0" fontId="15" fillId="0" borderId="11" xfId="0" applyFont="1" applyBorder="1" applyAlignment="1">
      <alignment horizontal="center"/>
    </xf>
    <xf numFmtId="0" fontId="7" fillId="5" borderId="0" xfId="0" applyFont="1" applyFill="1" applyBorder="1" applyAlignment="1">
      <alignment horizontal="center"/>
    </xf>
    <xf numFmtId="0" fontId="11" fillId="5" borderId="0" xfId="0" applyFont="1" applyFill="1" applyBorder="1" applyAlignment="1">
      <alignment horizontal="center"/>
    </xf>
    <xf numFmtId="167" fontId="0" fillId="5" borderId="12" xfId="0" applyNumberFormat="1" applyFont="1" applyFill="1" applyBorder="1" applyAlignment="1">
      <alignment horizontal="center"/>
    </xf>
    <xf numFmtId="167" fontId="0" fillId="5" borderId="13" xfId="0" applyNumberFormat="1" applyFont="1" applyFill="1" applyBorder="1" applyAlignment="1">
      <alignment horizontal="center"/>
    </xf>
    <xf numFmtId="167" fontId="0" fillId="5" borderId="10" xfId="0" applyNumberFormat="1" applyFont="1" applyFill="1" applyBorder="1" applyAlignment="1">
      <alignment horizontal="center"/>
    </xf>
    <xf numFmtId="167" fontId="0" fillId="5" borderId="11" xfId="0" applyNumberFormat="1" applyFont="1" applyFill="1" applyBorder="1" applyAlignment="1">
      <alignment horizontal="center"/>
    </xf>
    <xf numFmtId="0" fontId="0" fillId="5" borderId="1" xfId="0" applyFill="1" applyBorder="1" applyAlignment="1">
      <alignment horizontal="center"/>
    </xf>
    <xf numFmtId="0" fontId="0" fillId="5" borderId="5" xfId="0" applyFill="1" applyBorder="1" applyAlignment="1">
      <alignment horizontal="center" wrapText="1"/>
    </xf>
    <xf numFmtId="0" fontId="0" fillId="5" borderId="6" xfId="0" applyFill="1" applyBorder="1" applyAlignment="1">
      <alignment horizontal="center" wrapText="1"/>
    </xf>
    <xf numFmtId="7" fontId="21" fillId="5" borderId="2" xfId="0" applyNumberFormat="1" applyFont="1" applyFill="1" applyBorder="1" applyAlignment="1">
      <alignment horizontal="center"/>
    </xf>
    <xf numFmtId="7" fontId="21" fillId="5" borderId="3" xfId="0" applyNumberFormat="1" applyFont="1" applyFill="1" applyBorder="1" applyAlignment="1">
      <alignment horizontal="center"/>
    </xf>
    <xf numFmtId="7" fontId="21" fillId="5" borderId="4" xfId="0" applyNumberFormat="1" applyFont="1" applyFill="1" applyBorder="1" applyAlignment="1">
      <alignment horizontal="center"/>
    </xf>
    <xf numFmtId="0" fontId="18" fillId="2" borderId="2" xfId="0" applyFont="1" applyFill="1" applyBorder="1" applyAlignment="1" applyProtection="1">
      <alignment horizontal="left" indent="1"/>
      <protection locked="0"/>
    </xf>
    <xf numFmtId="0" fontId="18" fillId="2" borderId="3" xfId="0" applyFont="1" applyFill="1" applyBorder="1" applyAlignment="1" applyProtection="1">
      <alignment horizontal="left" indent="1"/>
      <protection locked="0"/>
    </xf>
    <xf numFmtId="0" fontId="18" fillId="2" borderId="4" xfId="0" applyFont="1" applyFill="1" applyBorder="1" applyAlignment="1" applyProtection="1">
      <alignment horizontal="left" indent="1"/>
      <protection locked="0"/>
    </xf>
    <xf numFmtId="166" fontId="0" fillId="5" borderId="14" xfId="0" applyNumberFormat="1" applyFill="1" applyBorder="1" applyAlignment="1">
      <alignment horizontal="left"/>
    </xf>
    <xf numFmtId="0" fontId="19" fillId="5" borderId="2" xfId="0" applyFont="1" applyFill="1" applyBorder="1" applyAlignment="1" applyProtection="1">
      <alignment horizontal="left" indent="1"/>
      <protection locked="0"/>
    </xf>
    <xf numFmtId="0" fontId="19" fillId="5" borderId="3" xfId="0" applyFont="1" applyFill="1" applyBorder="1" applyAlignment="1" applyProtection="1">
      <alignment horizontal="left" indent="1"/>
      <protection locked="0"/>
    </xf>
    <xf numFmtId="0" fontId="19" fillId="5" borderId="4" xfId="0" applyFont="1" applyFill="1" applyBorder="1" applyAlignment="1" applyProtection="1">
      <alignment horizontal="left" indent="1"/>
      <protection locked="0"/>
    </xf>
    <xf numFmtId="166" fontId="19" fillId="5" borderId="2" xfId="0" applyNumberFormat="1" applyFont="1" applyFill="1" applyBorder="1" applyAlignment="1" applyProtection="1">
      <alignment horizontal="left" indent="1"/>
      <protection locked="0"/>
    </xf>
    <xf numFmtId="166" fontId="19" fillId="5" borderId="3" xfId="0" applyNumberFormat="1" applyFont="1" applyFill="1" applyBorder="1" applyAlignment="1" applyProtection="1">
      <alignment horizontal="left" indent="1"/>
      <protection locked="0"/>
    </xf>
    <xf numFmtId="166" fontId="19" fillId="5" borderId="4" xfId="0" applyNumberFormat="1" applyFont="1" applyFill="1" applyBorder="1" applyAlignment="1" applyProtection="1">
      <alignment horizontal="left" indent="1"/>
      <protection locked="0"/>
    </xf>
    <xf numFmtId="0" fontId="0" fillId="4" borderId="5" xfId="0" applyFill="1" applyBorder="1" applyAlignment="1">
      <alignment horizontal="center" wrapText="1"/>
    </xf>
    <xf numFmtId="0" fontId="0" fillId="4" borderId="6" xfId="0" applyFill="1" applyBorder="1" applyAlignment="1">
      <alignment horizontal="center" wrapText="1"/>
    </xf>
    <xf numFmtId="167" fontId="0" fillId="5" borderId="8" xfId="0" applyNumberFormat="1" applyFont="1" applyFill="1" applyBorder="1" applyAlignment="1">
      <alignment horizontal="center"/>
    </xf>
    <xf numFmtId="167" fontId="0" fillId="5" borderId="9" xfId="0" applyNumberFormat="1" applyFont="1" applyFill="1" applyBorder="1" applyAlignment="1">
      <alignment horizontal="center"/>
    </xf>
    <xf numFmtId="0" fontId="0" fillId="5" borderId="8" xfId="0" applyFill="1" applyBorder="1" applyAlignment="1">
      <alignment horizontal="center" wrapText="1"/>
    </xf>
    <xf numFmtId="0" fontId="0" fillId="5" borderId="9" xfId="0" applyFill="1" applyBorder="1" applyAlignment="1">
      <alignment horizontal="center" wrapText="1"/>
    </xf>
    <xf numFmtId="0" fontId="0" fillId="5" borderId="12" xfId="0" applyFill="1" applyBorder="1" applyAlignment="1">
      <alignment horizontal="center" wrapText="1"/>
    </xf>
    <xf numFmtId="0" fontId="0" fillId="5" borderId="13" xfId="0" applyFill="1" applyBorder="1" applyAlignment="1">
      <alignment horizontal="center" wrapText="1"/>
    </xf>
    <xf numFmtId="0" fontId="21" fillId="5" borderId="2" xfId="0" applyFont="1" applyFill="1" applyBorder="1" applyAlignment="1">
      <alignment horizontal="center"/>
    </xf>
    <xf numFmtId="0" fontId="21" fillId="5" borderId="3" xfId="0" applyFont="1" applyFill="1" applyBorder="1" applyAlignment="1">
      <alignment horizontal="center"/>
    </xf>
    <xf numFmtId="0" fontId="21" fillId="5" borderId="4" xfId="0" applyFont="1" applyFill="1" applyBorder="1" applyAlignment="1">
      <alignment horizontal="center"/>
    </xf>
  </cellXfs>
  <cellStyles count="2">
    <cellStyle name="Normal" xfId="0" builtinId="0"/>
    <cellStyle name="Percent" xfId="1" builtinId="5"/>
  </cellStyles>
  <dxfs count="18">
    <dxf>
      <fill>
        <patternFill patternType="lightUp"/>
      </fill>
    </dxf>
    <dxf>
      <font>
        <color rgb="FFFF0000"/>
      </font>
    </dxf>
    <dxf>
      <font>
        <color theme="9" tint="-0.24994659260841701"/>
      </font>
    </dxf>
    <dxf>
      <fill>
        <patternFill patternType="lightDown"/>
      </fill>
    </dxf>
    <dxf>
      <fill>
        <patternFill patternType="lightDown"/>
      </fill>
    </dxf>
    <dxf>
      <fill>
        <patternFill patternType="lightDown"/>
      </fill>
    </dxf>
    <dxf>
      <font>
        <color rgb="FF00B050"/>
      </font>
    </dxf>
    <dxf>
      <font>
        <color rgb="FFFFFF00"/>
      </font>
      <fill>
        <patternFill>
          <bgColor rgb="FFFF0000"/>
        </patternFill>
      </fill>
    </dxf>
    <dxf>
      <font>
        <color rgb="FF0070C0"/>
      </font>
      <fill>
        <patternFill>
          <bgColor rgb="FFFFFF99"/>
        </patternFill>
      </fill>
    </dxf>
    <dxf>
      <font>
        <color rgb="FFFFFF00"/>
      </font>
      <fill>
        <patternFill>
          <bgColor rgb="FFFF0000"/>
        </patternFill>
      </fill>
    </dxf>
    <dxf>
      <fill>
        <patternFill patternType="lightDown"/>
      </fill>
    </dxf>
    <dxf>
      <font>
        <color rgb="FF00B050"/>
      </font>
    </dxf>
    <dxf>
      <font>
        <b/>
        <i val="0"/>
        <color rgb="FFFF0000"/>
      </font>
      <fill>
        <patternFill patternType="solid">
          <bgColor theme="4" tint="0.79998168889431442"/>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0070C0"/>
      </font>
      <fill>
        <patternFill>
          <bgColor rgb="FFFFFF99"/>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114300</xdr:colOff>
      <xdr:row>5</xdr:row>
      <xdr:rowOff>28576</xdr:rowOff>
    </xdr:from>
    <xdr:to>
      <xdr:col>11</xdr:col>
      <xdr:colOff>542925</xdr:colOff>
      <xdr:row>96</xdr:row>
      <xdr:rowOff>152400</xdr:rowOff>
    </xdr:to>
    <xdr:sp macro="" textlink="">
      <xdr:nvSpPr>
        <xdr:cNvPr id="2" name="TextBox 1"/>
        <xdr:cNvSpPr txBox="1"/>
      </xdr:nvSpPr>
      <xdr:spPr>
        <a:xfrm>
          <a:off x="266700" y="1009651"/>
          <a:ext cx="6524625" cy="18107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OREC Price Bid Form is a Microsoft Excel-based spreadsheet template intended to facilitate the communication of OREC Price Schedule and related bid data as part of an OREC Application to the Maryland Public Service Commission under the Offshore Wind Energy Act of 2013, consistent with regulations under COMAR 20.61.06.02.M.  Applicants must complete a copy of the Bid Form for each pricing option offered.  Properly completed, the Bid Form will determine whether the proposed OREC Price Schedule complies with the cap on levelized OREC price cap at $190 per MWh in 2012 dollars for the applicant's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proposed Target CO Date and for delays of up to 5 years.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Data Validation and Error Messages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shaded box near the upper right corner of the Bid Form displays messages on the status and viability of the bid data entries.  When the Bid Form is blank or incomplete, the first row of the box displays the message “MISSING INFORMATION”.  Once a valid entry has been made for each required field, this message changes to “ALL INFORMATION PROVIDED”.  The second row of the box indicates whether the pricing entered results in a levelized OREC price over the base proposed term (starting at the Target CO Date and continuing over the proposed OREC Price Term) that is in compliance with the $190/MWh price cap (2012 $).  The third row of the box indicates whether the levelized OREC price cap test is met assuming delays of 1, 2, 3, 4 or 5 years.  The levelized OREC price cap test messages only appear once the “ALL INFORMATION PROVIDED” message appears.</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If a non-valid entry is attempted in any of the input cells, </a:t>
          </a:r>
          <a:r>
            <a:rPr lang="en-US" sz="1100">
              <a:solidFill>
                <a:schemeClr val="dk1"/>
              </a:solidFill>
              <a:effectLst/>
              <a:latin typeface="+mn-lt"/>
              <a:ea typeface="+mn-ea"/>
              <a:cs typeface="+mn-cs"/>
            </a:rPr>
            <a:t>a message will appear suggesting how to fix the entry, either by entering a value within a valid range or by selecting from a drop-down list.</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the right of the white-background form area on a display screen, there is a column in the blue background area that displays ‘&lt;&lt;&lt; Required Information” or “OK”, depending on the status of the input cells in the corresponding rows.  When all of these messages read “OK”, the “ALL INFORMATION PROVIDED” message will appear within the bid form area.</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Inputs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paragraphs describe the inputs to the Bid Form and explain the calculations associated with the levelized OREC price test.</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The following inputs are assumed to</a:t>
          </a:r>
          <a:r>
            <a:rPr lang="en-US" sz="1100" i="1" baseline="0">
              <a:solidFill>
                <a:schemeClr val="dk1"/>
              </a:solidFill>
              <a:effectLst/>
              <a:latin typeface="+mn-lt"/>
              <a:ea typeface="+mn-ea"/>
              <a:cs typeface="+mn-cs"/>
            </a:rPr>
            <a:t> be the same for all price proposals for a given OREC application.</a:t>
          </a:r>
          <a:endParaRPr lang="en-US" sz="1100" i="1">
            <a:solidFill>
              <a:schemeClr val="dk1"/>
            </a:solidFill>
            <a:effectLst/>
            <a:latin typeface="+mn-lt"/>
            <a:ea typeface="+mn-ea"/>
            <a:cs typeface="+mn-cs"/>
          </a:endParaRPr>
        </a:p>
        <a:p>
          <a:endParaRPr lang="en-US" sz="1100" i="1">
            <a:solidFill>
              <a:schemeClr val="dk1"/>
            </a:solidFill>
            <a:effectLst/>
            <a:latin typeface="+mn-lt"/>
            <a:ea typeface="+mn-ea"/>
            <a:cs typeface="+mn-cs"/>
          </a:endParaRPr>
        </a:p>
        <a:p>
          <a:r>
            <a:rPr lang="en-US" sz="1100" b="1">
              <a:solidFill>
                <a:schemeClr val="dk1"/>
              </a:solidFill>
              <a:effectLst/>
              <a:latin typeface="+mn-lt"/>
              <a:ea typeface="+mn-ea"/>
              <a:cs typeface="+mn-cs"/>
            </a:rPr>
            <a:t>Applicant Name</a:t>
          </a:r>
          <a:r>
            <a:rPr lang="en-US" sz="1100">
              <a:solidFill>
                <a:schemeClr val="dk1"/>
              </a:solidFill>
              <a:effectLst/>
              <a:latin typeface="+mn-lt"/>
              <a:ea typeface="+mn-ea"/>
              <a:cs typeface="+mn-cs"/>
            </a:rPr>
            <a:t> – Enter full name of applicant as it appears elsewhere in the OREC Application</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Project Name</a:t>
          </a:r>
          <a:r>
            <a:rPr lang="en-US" sz="1100">
              <a:solidFill>
                <a:schemeClr val="dk1"/>
              </a:solidFill>
              <a:effectLst/>
              <a:latin typeface="+mn-lt"/>
              <a:ea typeface="+mn-ea"/>
              <a:cs typeface="+mn-cs"/>
            </a:rPr>
            <a:t> – Enter the name of the project as it appears elsewhere in the OREC Application</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Project Installed Capacity</a:t>
          </a:r>
          <a:r>
            <a:rPr lang="en-US" sz="1100">
              <a:solidFill>
                <a:schemeClr val="dk1"/>
              </a:solidFill>
              <a:effectLst/>
              <a:latin typeface="+mn-lt"/>
              <a:ea typeface="+mn-ea"/>
              <a:cs typeface="+mn-cs"/>
            </a:rPr>
            <a:t> – Enter the installed capacity of the project in MW.  (In the case of a 2-part price proposal, capacity will be used to determine a base transmission network upgrade cost.)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Lease Site</a:t>
          </a:r>
          <a:r>
            <a:rPr lang="en-US" sz="1100">
              <a:solidFill>
                <a:schemeClr val="dk1"/>
              </a:solidFill>
              <a:effectLst/>
              <a:latin typeface="+mn-lt"/>
              <a:ea typeface="+mn-ea"/>
              <a:cs typeface="+mn-cs"/>
            </a:rPr>
            <a:t> – Select the applicable Maryland offshore lease site (North, South or both) from the drop-down list.  The list will appear when the input cell is highlighted and the cursor is moved over the box with the arrow.</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Target CO Date</a:t>
          </a:r>
          <a:r>
            <a:rPr lang="en-US" sz="1100">
              <a:solidFill>
                <a:schemeClr val="dk1"/>
              </a:solidFill>
              <a:effectLst/>
              <a:latin typeface="+mn-lt"/>
              <a:ea typeface="+mn-ea"/>
              <a:cs typeface="+mn-cs"/>
            </a:rPr>
            <a:t> – Select the first full month of anticipated commercial operation from the drop-down list.</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The input  items below may vary among multiple pricing proposals.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Price Proposal Name</a:t>
          </a:r>
          <a:r>
            <a:rPr lang="en-US" sz="1100">
              <a:solidFill>
                <a:schemeClr val="dk1"/>
              </a:solidFill>
              <a:effectLst/>
              <a:latin typeface="+mn-lt"/>
              <a:ea typeface="+mn-ea"/>
              <a:cs typeface="+mn-cs"/>
            </a:rPr>
            <a:t> – Enter a name that identifies  alternative OREC Pricing Schedules for the Application and is consistent with other parts of the Application.</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Price Proposal Type</a:t>
          </a:r>
          <a:r>
            <a:rPr lang="en-US" sz="1100">
              <a:solidFill>
                <a:schemeClr val="dk1"/>
              </a:solidFill>
              <a:effectLst/>
              <a:latin typeface="+mn-lt"/>
              <a:ea typeface="+mn-ea"/>
              <a:cs typeface="+mn-cs"/>
            </a:rPr>
            <a:t> – Select the proposal type (“1-Part” or “2-Part”) from the drop-down list.   As defined in the regulations at COMAR 20.61.06.02.M.(1), a 1-Part price schedule consists of a firm price per MWh for each calendar year that would not be subject</a:t>
          </a:r>
          <a:r>
            <a:rPr lang="en-US" sz="1100" baseline="0">
              <a:solidFill>
                <a:schemeClr val="dk1"/>
              </a:solidFill>
              <a:effectLst/>
              <a:latin typeface="+mn-lt"/>
              <a:ea typeface="+mn-ea"/>
              <a:cs typeface="+mn-cs"/>
            </a:rPr>
            <a:t> to any adjustment</a:t>
          </a:r>
          <a:r>
            <a:rPr lang="en-US" sz="1100">
              <a:solidFill>
                <a:schemeClr val="dk1"/>
              </a:solidFill>
              <a:effectLst/>
              <a:latin typeface="+mn-lt"/>
              <a:ea typeface="+mn-ea"/>
              <a:cs typeface="+mn-cs"/>
            </a:rPr>
            <a:t>.  A 2-Part price schedule consists of both a firm price component per MWh for each calendar year (Part 1) and a level nominal dollar price component per MWh over the proposed OREC term (Part 2) that is subject to a one-time adjustment based on the relationship between (i) the actual cost of transmission network upgrades determined by PJM in an Interconnection Services Agreement  and (ii) the estimate for such upgrades developed by the Commission’s consultant and provided by this Bid Form as a function of Project Installed Capacity and Target CO Date.   Note that only transmission network</a:t>
          </a:r>
          <a:r>
            <a:rPr lang="en-US" sz="1100" baseline="0">
              <a:solidFill>
                <a:schemeClr val="dk1"/>
              </a:solidFill>
              <a:effectLst/>
              <a:latin typeface="+mn-lt"/>
              <a:ea typeface="+mn-ea"/>
              <a:cs typeface="+mn-cs"/>
            </a:rPr>
            <a:t> upgrades  are included in the Part 2 adjustable price.   For Project Installed Capacity  of up to 250 MW, the consultant's 250 MW estimate will be used, while the 400 MW estimate will be used for any Project Installed Capacity greater than 250 MW.   Interconnection costs are not included.</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OREC Price Term</a:t>
          </a:r>
          <a:r>
            <a:rPr lang="en-US" sz="1100">
              <a:solidFill>
                <a:schemeClr val="dk1"/>
              </a:solidFill>
              <a:effectLst/>
              <a:latin typeface="+mn-lt"/>
              <a:ea typeface="+mn-ea"/>
              <a:cs typeface="+mn-cs"/>
            </a:rPr>
            <a:t> – Enter a proposed OREC term of up to 20 years in whole years.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Part 1 OREC Price</a:t>
          </a:r>
          <a:r>
            <a:rPr lang="en-US" sz="1100">
              <a:solidFill>
                <a:schemeClr val="dk1"/>
              </a:solidFill>
              <a:effectLst/>
              <a:latin typeface="+mn-lt"/>
              <a:ea typeface="+mn-ea"/>
              <a:cs typeface="+mn-cs"/>
            </a:rPr>
            <a:t> – For each calendar year beginning with the year of the Target CO Date through five years past the year in which the proposed OREC Price Term would end, enter a firm OREC price expressed in nominal dollars per MWh.  Prices may be level, or may change from year to year, but they must be firm for the indicated calendar year.  All entries will be rounded by the Bid Form to the nearest $0.01/MWh.  The prices for the five calendar years beyond the end of the proposed term are used to determine whether the OREC Price Schedule would continue to comply with the Levelized OREC Price Cap Test in the event of a schedule delay of up to 5 years.  Note that the cells for the Part 1 price table are formatted so that, once a Target CO Date and a Proposed OREC Term are entered, cells for calendar years outside of the relevant range are cross-hatched.  No entry needs to be made in those cells.  </a:t>
          </a:r>
          <a:r>
            <a:rPr lang="en-US" sz="1100" b="1">
              <a:solidFill>
                <a:schemeClr val="dk1"/>
              </a:solidFill>
              <a:effectLst/>
              <a:latin typeface="+mn-lt"/>
              <a:ea typeface="+mn-ea"/>
              <a:cs typeface="+mn-cs"/>
            </a:rPr>
            <a:t>Price entries should be made either by manual entry or by pasting prices into the range “AS VALUES”.  If a range of cells is copied from another spreadsheet and pasted using the general paste settings, the formatting on the bid form may be corrupted. </a:t>
          </a:r>
        </a:p>
        <a:p>
          <a:endParaRPr lang="en-US"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Part 2 OREC Price</a:t>
          </a:r>
          <a:r>
            <a:rPr lang="en-US" sz="1100">
              <a:solidFill>
                <a:schemeClr val="dk1"/>
              </a:solidFill>
              <a:effectLst/>
              <a:latin typeface="+mn-lt"/>
              <a:ea typeface="+mn-ea"/>
              <a:cs typeface="+mn-cs"/>
            </a:rPr>
            <a:t> –  If the Price Proposal Type selected is “2-Part”, enter the portion of OREC price to be subject to adjustment based on the ratio of the actual final PJM cost estimate for transmission upgrades to the cost estimate selected from the table in this form, based on Project Installed Capacity and Target CO Date.  The price shall be stated in level nominal dollars per MWh over the OREC price term.  Note that, once Price Proposal Type has been selected as “2-Part” and Proposed Installed Capacity and Target CO Date have been entered on the form, an Upgrade Cost Case name will appear with a Base Upgrade Cost in millions of  dollars adjusted to the Target</a:t>
          </a:r>
          <a:r>
            <a:rPr lang="en-US" sz="1100" baseline="0">
              <a:solidFill>
                <a:schemeClr val="dk1"/>
              </a:solidFill>
              <a:effectLst/>
              <a:latin typeface="+mn-lt"/>
              <a:ea typeface="+mn-ea"/>
              <a:cs typeface="+mn-cs"/>
            </a:rPr>
            <a:t> CO Date</a:t>
          </a:r>
          <a:r>
            <a:rPr lang="en-US" sz="1100">
              <a:solidFill>
                <a:schemeClr val="dk1"/>
              </a:solidFill>
              <a:effectLst/>
              <a:latin typeface="+mn-lt"/>
              <a:ea typeface="+mn-ea"/>
              <a:cs typeface="+mn-cs"/>
            </a:rPr>
            <a:t>.  The Part 2 price component that will be actually paid will be the proposed price multiplied by the ratio of the actual PJM cost estimate to the Base Upgrade Cost, subject to the Levelized OREC Price cap test as described below.  Note that the Part 2 price entered on the bid form will be rounded to the nearest $0.01 / MWh.</a:t>
          </a:r>
          <a:endParaRPr lang="en-US">
            <a:effectLst/>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Levelized OREC Price Cap Test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columns to the left of the Part 1 price entry area are used to calculate the total OREC price for each calendar year in nominal dollars per MWh and in 2012 dollars per MWh.  The 2012 dollar price is the product of the nominal dollar price and the “2012 $ Deflator”.  There are also columns for a real discount factor by calendar year and for a levelized 2012 $ OREC price.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box below the calendar year table summarizes the calculation of levelized OREC price for f the Target CO Date and delays of 1, 2, 3, 4, or 5 years.  For the Target CO date, the levelized price is the sum of calendar year products of “Delivery Months” x “Total Nominal Price” x “Deflator” x “Real Discount”, divided by the sum of calendar year products of “Delivery Months” and “Real Discount”.  For the delay tests, the “Delivery Months” column values are slipped down one row for each year of delay.  The “Max Upgrade Cost” displayed in the box, in the case of a 2-Part price proposal, is the “actual” upgrade cost in Target CO Date dollars that would bring the levelized OREC cost to exactly $190/MWh in 2012 dollars.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0"/>
  <sheetViews>
    <sheetView tabSelected="1" workbookViewId="0"/>
  </sheetViews>
  <sheetFormatPr defaultRowHeight="15" x14ac:dyDescent="0.25"/>
  <cols>
    <col min="1" max="1" width="2.28515625" customWidth="1"/>
  </cols>
  <sheetData>
    <row r="1" spans="1:22" ht="9.75" customHeight="1" x14ac:dyDescent="0.25">
      <c r="A1" s="28"/>
      <c r="B1" s="28"/>
      <c r="C1" s="28"/>
      <c r="D1" s="28"/>
      <c r="E1" s="28"/>
      <c r="F1" s="28"/>
      <c r="G1" s="28"/>
      <c r="H1" s="28"/>
      <c r="I1" s="28"/>
      <c r="J1" s="28"/>
      <c r="K1" s="28"/>
      <c r="L1" s="28"/>
      <c r="M1" s="28"/>
      <c r="N1" s="28"/>
      <c r="O1" s="28"/>
      <c r="P1" s="28"/>
      <c r="Q1" s="28"/>
      <c r="R1" s="28"/>
      <c r="S1" s="28"/>
      <c r="T1" s="28"/>
      <c r="U1" s="28"/>
      <c r="V1" s="28"/>
    </row>
    <row r="2" spans="1:22" ht="18.75" x14ac:dyDescent="0.3">
      <c r="A2" s="28"/>
      <c r="B2" s="215" t="s">
        <v>0</v>
      </c>
      <c r="C2" s="216"/>
      <c r="D2" s="216"/>
      <c r="E2" s="216"/>
      <c r="F2" s="216"/>
      <c r="G2" s="216"/>
      <c r="H2" s="216"/>
      <c r="I2" s="216"/>
      <c r="J2" s="216"/>
      <c r="K2" s="216"/>
      <c r="L2" s="217"/>
      <c r="M2" s="28"/>
      <c r="N2" s="28"/>
      <c r="O2" s="28"/>
      <c r="P2" s="28"/>
      <c r="Q2" s="28"/>
      <c r="R2" s="28"/>
      <c r="S2" s="28"/>
      <c r="T2" s="28"/>
      <c r="U2" s="28"/>
      <c r="V2" s="28"/>
    </row>
    <row r="3" spans="1:22" ht="18.75" x14ac:dyDescent="0.3">
      <c r="A3" s="28"/>
      <c r="B3" s="218" t="s">
        <v>68</v>
      </c>
      <c r="C3" s="219"/>
      <c r="D3" s="219"/>
      <c r="E3" s="219"/>
      <c r="F3" s="219"/>
      <c r="G3" s="219"/>
      <c r="H3" s="219"/>
      <c r="I3" s="219"/>
      <c r="J3" s="219"/>
      <c r="K3" s="219"/>
      <c r="L3" s="220"/>
      <c r="M3" s="28"/>
      <c r="N3" s="28"/>
      <c r="O3" s="28"/>
      <c r="P3" s="28"/>
      <c r="Q3" s="28"/>
      <c r="R3" s="28"/>
      <c r="S3" s="28"/>
      <c r="T3" s="28"/>
      <c r="U3" s="28"/>
      <c r="V3" s="28"/>
    </row>
    <row r="4" spans="1:22" x14ac:dyDescent="0.25">
      <c r="A4" s="28"/>
      <c r="B4" s="1"/>
      <c r="C4" s="7"/>
      <c r="D4" s="5"/>
      <c r="E4" s="5"/>
      <c r="F4" s="187" t="str">
        <f>Form_Version</f>
        <v>Version 2.0</v>
      </c>
      <c r="G4" s="5"/>
      <c r="H4" s="19">
        <f>Form_Date</f>
        <v>42118</v>
      </c>
      <c r="I4" s="19"/>
      <c r="J4" s="5"/>
      <c r="K4" s="5"/>
      <c r="L4" s="2"/>
      <c r="M4" s="28"/>
      <c r="N4" s="28"/>
      <c r="O4" s="28"/>
      <c r="P4" s="28"/>
      <c r="Q4" s="28"/>
      <c r="R4" s="28"/>
      <c r="S4" s="28"/>
      <c r="T4" s="28"/>
      <c r="U4" s="28"/>
      <c r="V4" s="28"/>
    </row>
    <row r="5" spans="1:22" x14ac:dyDescent="0.25">
      <c r="A5" s="28"/>
      <c r="B5" s="1"/>
      <c r="C5" s="5"/>
      <c r="D5" s="5"/>
      <c r="E5" s="5"/>
      <c r="F5" s="5"/>
      <c r="G5" s="5"/>
      <c r="H5" s="5"/>
      <c r="I5" s="5"/>
      <c r="J5" s="5"/>
      <c r="K5" s="5"/>
      <c r="L5" s="2"/>
      <c r="M5" s="28"/>
      <c r="N5" s="28"/>
      <c r="O5" s="28"/>
      <c r="P5" s="28"/>
      <c r="Q5" s="28"/>
      <c r="R5" s="28"/>
      <c r="S5" s="28"/>
      <c r="T5" s="28"/>
      <c r="U5" s="28"/>
      <c r="V5" s="28"/>
    </row>
    <row r="6" spans="1:22" x14ac:dyDescent="0.25">
      <c r="A6" s="28"/>
      <c r="B6" s="1"/>
      <c r="C6" s="5"/>
      <c r="D6" s="5"/>
      <c r="E6" s="5"/>
      <c r="F6" s="5"/>
      <c r="G6" s="5"/>
      <c r="H6" s="5"/>
      <c r="I6" s="5"/>
      <c r="J6" s="5"/>
      <c r="K6" s="5"/>
      <c r="L6" s="2"/>
      <c r="M6" s="28"/>
      <c r="N6" s="28"/>
      <c r="O6" s="28"/>
      <c r="P6" s="28"/>
      <c r="Q6" s="28"/>
      <c r="R6" s="28"/>
      <c r="S6" s="28"/>
      <c r="T6" s="28"/>
      <c r="U6" s="28"/>
      <c r="V6" s="28"/>
    </row>
    <row r="7" spans="1:22" x14ac:dyDescent="0.25">
      <c r="A7" s="28"/>
      <c r="B7" s="1"/>
      <c r="C7" s="5"/>
      <c r="D7" s="5"/>
      <c r="E7" s="5"/>
      <c r="F7" s="5"/>
      <c r="G7" s="5"/>
      <c r="H7" s="5"/>
      <c r="I7" s="5"/>
      <c r="J7" s="5"/>
      <c r="K7" s="5"/>
      <c r="L7" s="2"/>
      <c r="M7" s="28"/>
      <c r="N7" s="28"/>
      <c r="O7" s="28"/>
      <c r="P7" s="28"/>
      <c r="Q7" s="28"/>
      <c r="R7" s="28"/>
      <c r="S7" s="28"/>
      <c r="T7" s="28"/>
      <c r="U7" s="28"/>
      <c r="V7" s="28"/>
    </row>
    <row r="8" spans="1:22" x14ac:dyDescent="0.25">
      <c r="A8" s="28"/>
      <c r="B8" s="1"/>
      <c r="C8" s="5"/>
      <c r="D8" s="5"/>
      <c r="E8" s="5"/>
      <c r="F8" s="5"/>
      <c r="G8" s="5"/>
      <c r="H8" s="5"/>
      <c r="I8" s="5"/>
      <c r="J8" s="5"/>
      <c r="K8" s="5"/>
      <c r="L8" s="2"/>
      <c r="M8" s="28"/>
      <c r="N8" s="28"/>
      <c r="O8" s="28"/>
      <c r="P8" s="28"/>
      <c r="Q8" s="28"/>
      <c r="R8" s="28"/>
      <c r="S8" s="28"/>
      <c r="T8" s="28"/>
      <c r="U8" s="28"/>
      <c r="V8" s="28"/>
    </row>
    <row r="9" spans="1:22" x14ac:dyDescent="0.25">
      <c r="A9" s="28"/>
      <c r="B9" s="1"/>
      <c r="C9" s="5"/>
      <c r="D9" s="5"/>
      <c r="E9" s="5"/>
      <c r="F9" s="5"/>
      <c r="G9" s="5"/>
      <c r="H9" s="5"/>
      <c r="I9" s="5"/>
      <c r="J9" s="5"/>
      <c r="K9" s="5"/>
      <c r="L9" s="2"/>
      <c r="M9" s="28"/>
      <c r="N9" s="28"/>
      <c r="O9" s="28"/>
      <c r="P9" s="28"/>
      <c r="Q9" s="28"/>
      <c r="R9" s="28"/>
      <c r="S9" s="28"/>
      <c r="T9" s="28"/>
      <c r="U9" s="28"/>
      <c r="V9" s="28"/>
    </row>
    <row r="10" spans="1:22" x14ac:dyDescent="0.25">
      <c r="A10" s="28"/>
      <c r="B10" s="1"/>
      <c r="C10" s="5"/>
      <c r="D10" s="5"/>
      <c r="E10" s="5"/>
      <c r="F10" s="5"/>
      <c r="G10" s="5"/>
      <c r="H10" s="5"/>
      <c r="I10" s="5"/>
      <c r="J10" s="5"/>
      <c r="K10" s="5"/>
      <c r="L10" s="2"/>
      <c r="M10" s="28"/>
      <c r="N10" s="28"/>
      <c r="O10" s="28"/>
      <c r="P10" s="28"/>
      <c r="Q10" s="28"/>
      <c r="R10" s="28"/>
      <c r="S10" s="28"/>
      <c r="T10" s="28"/>
      <c r="U10" s="28"/>
      <c r="V10" s="28"/>
    </row>
    <row r="11" spans="1:22" x14ac:dyDescent="0.25">
      <c r="A11" s="28"/>
      <c r="B11" s="1"/>
      <c r="C11" s="5"/>
      <c r="D11" s="5"/>
      <c r="E11" s="5"/>
      <c r="F11" s="5"/>
      <c r="G11" s="5"/>
      <c r="H11" s="5"/>
      <c r="I11" s="5"/>
      <c r="J11" s="5"/>
      <c r="K11" s="5"/>
      <c r="L11" s="2"/>
      <c r="M11" s="28"/>
      <c r="N11" s="28"/>
      <c r="O11" s="28"/>
      <c r="P11" s="28"/>
      <c r="Q11" s="28"/>
      <c r="R11" s="28"/>
      <c r="S11" s="28"/>
      <c r="T11" s="28"/>
      <c r="U11" s="28"/>
      <c r="V11" s="28"/>
    </row>
    <row r="12" spans="1:22" x14ac:dyDescent="0.25">
      <c r="A12" s="28"/>
      <c r="B12" s="1"/>
      <c r="C12" s="5"/>
      <c r="D12" s="5"/>
      <c r="E12" s="5"/>
      <c r="F12" s="5"/>
      <c r="G12" s="5"/>
      <c r="H12" s="5"/>
      <c r="I12" s="5"/>
      <c r="J12" s="5"/>
      <c r="K12" s="5"/>
      <c r="L12" s="2"/>
      <c r="M12" s="28"/>
      <c r="N12" s="28"/>
      <c r="O12" s="28"/>
      <c r="P12" s="28"/>
      <c r="Q12" s="28"/>
      <c r="R12" s="28"/>
      <c r="S12" s="28"/>
      <c r="T12" s="28"/>
      <c r="U12" s="28"/>
      <c r="V12" s="28"/>
    </row>
    <row r="13" spans="1:22" x14ac:dyDescent="0.25">
      <c r="A13" s="28"/>
      <c r="B13" s="1"/>
      <c r="C13" s="5"/>
      <c r="D13" s="5"/>
      <c r="E13" s="5"/>
      <c r="F13" s="5"/>
      <c r="G13" s="5"/>
      <c r="H13" s="5"/>
      <c r="I13" s="5"/>
      <c r="J13" s="5"/>
      <c r="K13" s="5"/>
      <c r="L13" s="2"/>
      <c r="M13" s="28"/>
      <c r="N13" s="28"/>
      <c r="O13" s="28"/>
      <c r="P13" s="28"/>
      <c r="Q13" s="28"/>
      <c r="R13" s="28"/>
      <c r="S13" s="28"/>
      <c r="T13" s="28"/>
      <c r="U13" s="28"/>
      <c r="V13" s="28"/>
    </row>
    <row r="14" spans="1:22" x14ac:dyDescent="0.25">
      <c r="A14" s="28"/>
      <c r="B14" s="1"/>
      <c r="C14" s="5"/>
      <c r="D14" s="5"/>
      <c r="E14" s="5"/>
      <c r="F14" s="5"/>
      <c r="G14" s="5"/>
      <c r="H14" s="5"/>
      <c r="I14" s="5"/>
      <c r="J14" s="5"/>
      <c r="K14" s="5"/>
      <c r="L14" s="2"/>
      <c r="M14" s="28"/>
      <c r="N14" s="28"/>
      <c r="O14" s="28"/>
      <c r="P14" s="28"/>
      <c r="Q14" s="28"/>
      <c r="R14" s="28"/>
      <c r="S14" s="28"/>
      <c r="T14" s="28"/>
      <c r="U14" s="28"/>
      <c r="V14" s="28"/>
    </row>
    <row r="15" spans="1:22" x14ac:dyDescent="0.25">
      <c r="A15" s="28"/>
      <c r="B15" s="1"/>
      <c r="C15" s="5"/>
      <c r="D15" s="5"/>
      <c r="E15" s="5"/>
      <c r="F15" s="5"/>
      <c r="G15" s="5"/>
      <c r="H15" s="5"/>
      <c r="I15" s="5"/>
      <c r="J15" s="5"/>
      <c r="K15" s="5"/>
      <c r="L15" s="2"/>
      <c r="M15" s="28"/>
      <c r="N15" s="28"/>
      <c r="O15" s="28"/>
      <c r="P15" s="28"/>
      <c r="Q15" s="28"/>
      <c r="R15" s="28"/>
      <c r="S15" s="28"/>
      <c r="T15" s="28"/>
      <c r="U15" s="28"/>
      <c r="V15" s="28"/>
    </row>
    <row r="16" spans="1:22" x14ac:dyDescent="0.25">
      <c r="A16" s="28"/>
      <c r="B16" s="1"/>
      <c r="C16" s="5"/>
      <c r="D16" s="5"/>
      <c r="E16" s="5"/>
      <c r="F16" s="5"/>
      <c r="G16" s="5"/>
      <c r="H16" s="5"/>
      <c r="I16" s="5"/>
      <c r="J16" s="5"/>
      <c r="K16" s="5"/>
      <c r="L16" s="2"/>
      <c r="M16" s="28"/>
      <c r="N16" s="28"/>
      <c r="O16" s="28"/>
      <c r="P16" s="28"/>
      <c r="Q16" s="28"/>
      <c r="R16" s="28"/>
      <c r="S16" s="28"/>
      <c r="T16" s="28"/>
      <c r="U16" s="28"/>
      <c r="V16" s="28"/>
    </row>
    <row r="17" spans="1:22" x14ac:dyDescent="0.25">
      <c r="A17" s="28"/>
      <c r="B17" s="1"/>
      <c r="C17" s="5"/>
      <c r="D17" s="5"/>
      <c r="E17" s="5"/>
      <c r="F17" s="5"/>
      <c r="G17" s="5"/>
      <c r="H17" s="5"/>
      <c r="I17" s="5"/>
      <c r="J17" s="5"/>
      <c r="K17" s="5"/>
      <c r="L17" s="2"/>
      <c r="M17" s="28"/>
      <c r="N17" s="28"/>
      <c r="O17" s="28"/>
      <c r="P17" s="28"/>
      <c r="Q17" s="28"/>
      <c r="R17" s="28"/>
      <c r="S17" s="28"/>
      <c r="T17" s="28"/>
      <c r="U17" s="28"/>
      <c r="V17" s="28"/>
    </row>
    <row r="18" spans="1:22" x14ac:dyDescent="0.25">
      <c r="A18" s="28"/>
      <c r="B18" s="1"/>
      <c r="C18" s="5"/>
      <c r="D18" s="5"/>
      <c r="E18" s="5"/>
      <c r="F18" s="5"/>
      <c r="G18" s="5"/>
      <c r="H18" s="5"/>
      <c r="I18" s="5"/>
      <c r="J18" s="5"/>
      <c r="K18" s="5"/>
      <c r="L18" s="2"/>
      <c r="M18" s="28"/>
      <c r="N18" s="28"/>
      <c r="O18" s="28"/>
      <c r="P18" s="28"/>
      <c r="Q18" s="28"/>
      <c r="R18" s="28"/>
      <c r="S18" s="28"/>
      <c r="T18" s="28"/>
      <c r="U18" s="28"/>
      <c r="V18" s="28"/>
    </row>
    <row r="19" spans="1:22" x14ac:dyDescent="0.25">
      <c r="A19" s="28"/>
      <c r="B19" s="1"/>
      <c r="C19" s="5"/>
      <c r="D19" s="5"/>
      <c r="E19" s="5"/>
      <c r="F19" s="5"/>
      <c r="G19" s="5"/>
      <c r="H19" s="5"/>
      <c r="I19" s="5"/>
      <c r="J19" s="5"/>
      <c r="K19" s="5"/>
      <c r="L19" s="2"/>
      <c r="M19" s="28"/>
      <c r="N19" s="28"/>
      <c r="O19" s="28"/>
      <c r="P19" s="28"/>
      <c r="Q19" s="28"/>
      <c r="R19" s="28"/>
      <c r="S19" s="28"/>
      <c r="T19" s="28"/>
      <c r="U19" s="28"/>
      <c r="V19" s="28"/>
    </row>
    <row r="20" spans="1:22" x14ac:dyDescent="0.25">
      <c r="A20" s="28"/>
      <c r="B20" s="1"/>
      <c r="C20" s="5"/>
      <c r="D20" s="5"/>
      <c r="E20" s="5"/>
      <c r="F20" s="5"/>
      <c r="G20" s="5"/>
      <c r="H20" s="5"/>
      <c r="I20" s="5"/>
      <c r="J20" s="5"/>
      <c r="K20" s="5"/>
      <c r="L20" s="2"/>
      <c r="M20" s="28"/>
      <c r="N20" s="28"/>
      <c r="O20" s="28"/>
      <c r="P20" s="28"/>
      <c r="Q20" s="28"/>
      <c r="R20" s="28"/>
      <c r="S20" s="28"/>
      <c r="T20" s="28"/>
      <c r="U20" s="28"/>
      <c r="V20" s="28"/>
    </row>
    <row r="21" spans="1:22" x14ac:dyDescent="0.25">
      <c r="A21" s="28"/>
      <c r="B21" s="1"/>
      <c r="C21" s="5"/>
      <c r="D21" s="5"/>
      <c r="E21" s="5"/>
      <c r="F21" s="5"/>
      <c r="G21" s="5"/>
      <c r="H21" s="5"/>
      <c r="I21" s="5"/>
      <c r="J21" s="5"/>
      <c r="K21" s="5"/>
      <c r="L21" s="2"/>
      <c r="M21" s="28"/>
      <c r="N21" s="28"/>
      <c r="O21" s="28"/>
      <c r="P21" s="28"/>
      <c r="Q21" s="28"/>
      <c r="R21" s="28"/>
      <c r="S21" s="28"/>
      <c r="T21" s="28"/>
      <c r="U21" s="28"/>
      <c r="V21" s="28"/>
    </row>
    <row r="22" spans="1:22" x14ac:dyDescent="0.25">
      <c r="A22" s="28"/>
      <c r="B22" s="1"/>
      <c r="C22" s="5"/>
      <c r="D22" s="5"/>
      <c r="E22" s="5"/>
      <c r="F22" s="5"/>
      <c r="G22" s="5"/>
      <c r="H22" s="5"/>
      <c r="I22" s="5"/>
      <c r="J22" s="5"/>
      <c r="K22" s="5"/>
      <c r="L22" s="2"/>
      <c r="M22" s="28"/>
      <c r="N22" s="28"/>
      <c r="O22" s="28"/>
      <c r="P22" s="28"/>
      <c r="Q22" s="28"/>
      <c r="R22" s="28"/>
      <c r="S22" s="28"/>
      <c r="T22" s="28"/>
      <c r="U22" s="28"/>
      <c r="V22" s="28"/>
    </row>
    <row r="23" spans="1:22" x14ac:dyDescent="0.25">
      <c r="A23" s="28"/>
      <c r="B23" s="1"/>
      <c r="C23" s="5"/>
      <c r="D23" s="5"/>
      <c r="E23" s="5"/>
      <c r="F23" s="5"/>
      <c r="G23" s="5"/>
      <c r="H23" s="5"/>
      <c r="I23" s="5"/>
      <c r="J23" s="5"/>
      <c r="K23" s="5"/>
      <c r="L23" s="2"/>
      <c r="M23" s="28"/>
      <c r="N23" s="28"/>
      <c r="O23" s="28"/>
      <c r="P23" s="28"/>
      <c r="Q23" s="28"/>
      <c r="R23" s="28"/>
      <c r="S23" s="28"/>
      <c r="T23" s="28"/>
      <c r="U23" s="28"/>
      <c r="V23" s="28"/>
    </row>
    <row r="24" spans="1:22" x14ac:dyDescent="0.25">
      <c r="A24" s="28"/>
      <c r="B24" s="1"/>
      <c r="C24" s="5"/>
      <c r="D24" s="5"/>
      <c r="E24" s="5"/>
      <c r="F24" s="5"/>
      <c r="G24" s="5"/>
      <c r="H24" s="5"/>
      <c r="I24" s="5"/>
      <c r="J24" s="5"/>
      <c r="K24" s="5"/>
      <c r="L24" s="2"/>
      <c r="M24" s="28"/>
      <c r="N24" s="28"/>
      <c r="O24" s="28"/>
      <c r="P24" s="28"/>
      <c r="Q24" s="28"/>
      <c r="R24" s="28"/>
      <c r="S24" s="28"/>
      <c r="T24" s="28"/>
      <c r="U24" s="28"/>
      <c r="V24" s="28"/>
    </row>
    <row r="25" spans="1:22" x14ac:dyDescent="0.25">
      <c r="A25" s="28"/>
      <c r="B25" s="1"/>
      <c r="C25" s="5"/>
      <c r="D25" s="5"/>
      <c r="E25" s="5"/>
      <c r="F25" s="5"/>
      <c r="G25" s="5"/>
      <c r="H25" s="5"/>
      <c r="I25" s="5"/>
      <c r="J25" s="5"/>
      <c r="K25" s="5"/>
      <c r="L25" s="2"/>
      <c r="M25" s="28"/>
      <c r="N25" s="28"/>
      <c r="O25" s="28"/>
      <c r="P25" s="28"/>
      <c r="Q25" s="28"/>
      <c r="R25" s="28"/>
      <c r="S25" s="28"/>
      <c r="T25" s="28"/>
      <c r="U25" s="28"/>
      <c r="V25" s="28"/>
    </row>
    <row r="26" spans="1:22" x14ac:dyDescent="0.25">
      <c r="A26" s="28"/>
      <c r="B26" s="1"/>
      <c r="C26" s="5"/>
      <c r="D26" s="5"/>
      <c r="E26" s="5"/>
      <c r="F26" s="5"/>
      <c r="G26" s="5"/>
      <c r="H26" s="5"/>
      <c r="I26" s="5"/>
      <c r="J26" s="5"/>
      <c r="K26" s="5"/>
      <c r="L26" s="2"/>
      <c r="M26" s="28"/>
      <c r="N26" s="28"/>
      <c r="O26" s="28"/>
      <c r="P26" s="28"/>
      <c r="Q26" s="28"/>
      <c r="R26" s="28"/>
      <c r="S26" s="28"/>
      <c r="T26" s="28"/>
      <c r="U26" s="28"/>
      <c r="V26" s="28"/>
    </row>
    <row r="27" spans="1:22" x14ac:dyDescent="0.25">
      <c r="A27" s="28"/>
      <c r="B27" s="1"/>
      <c r="C27" s="5"/>
      <c r="D27" s="5"/>
      <c r="E27" s="5"/>
      <c r="F27" s="5"/>
      <c r="G27" s="5"/>
      <c r="H27" s="5"/>
      <c r="I27" s="5"/>
      <c r="J27" s="5"/>
      <c r="K27" s="5"/>
      <c r="L27" s="2"/>
      <c r="M27" s="28"/>
      <c r="N27" s="28"/>
      <c r="O27" s="28"/>
      <c r="P27" s="28"/>
      <c r="Q27" s="28"/>
      <c r="R27" s="28"/>
      <c r="S27" s="28"/>
      <c r="T27" s="28"/>
      <c r="U27" s="28"/>
      <c r="V27" s="28"/>
    </row>
    <row r="28" spans="1:22" x14ac:dyDescent="0.25">
      <c r="A28" s="28"/>
      <c r="B28" s="1"/>
      <c r="C28" s="5"/>
      <c r="D28" s="5"/>
      <c r="E28" s="5"/>
      <c r="F28" s="5"/>
      <c r="G28" s="5"/>
      <c r="H28" s="5"/>
      <c r="I28" s="5"/>
      <c r="J28" s="5"/>
      <c r="K28" s="5"/>
      <c r="L28" s="2"/>
      <c r="M28" s="28"/>
      <c r="N28" s="28"/>
      <c r="O28" s="28"/>
      <c r="P28" s="28"/>
      <c r="Q28" s="28"/>
      <c r="R28" s="28"/>
      <c r="S28" s="28"/>
      <c r="T28" s="28"/>
      <c r="U28" s="28"/>
      <c r="V28" s="28"/>
    </row>
    <row r="29" spans="1:22" x14ac:dyDescent="0.25">
      <c r="A29" s="28"/>
      <c r="B29" s="1"/>
      <c r="C29" s="5"/>
      <c r="D29" s="5"/>
      <c r="E29" s="5"/>
      <c r="F29" s="5"/>
      <c r="G29" s="5"/>
      <c r="H29" s="5"/>
      <c r="I29" s="5"/>
      <c r="J29" s="5"/>
      <c r="K29" s="5"/>
      <c r="L29" s="2"/>
      <c r="M29" s="28"/>
      <c r="N29" s="28"/>
      <c r="O29" s="28"/>
      <c r="P29" s="28"/>
      <c r="Q29" s="28"/>
      <c r="R29" s="28"/>
      <c r="S29" s="28"/>
      <c r="T29" s="28"/>
      <c r="U29" s="28"/>
      <c r="V29" s="28"/>
    </row>
    <row r="30" spans="1:22" x14ac:dyDescent="0.25">
      <c r="A30" s="28"/>
      <c r="B30" s="1"/>
      <c r="C30" s="5"/>
      <c r="D30" s="5"/>
      <c r="E30" s="5"/>
      <c r="F30" s="5"/>
      <c r="G30" s="5"/>
      <c r="H30" s="5"/>
      <c r="I30" s="5"/>
      <c r="J30" s="5"/>
      <c r="K30" s="5"/>
      <c r="L30" s="2"/>
      <c r="M30" s="28"/>
      <c r="N30" s="28"/>
      <c r="O30" s="28"/>
      <c r="P30" s="28"/>
      <c r="Q30" s="28"/>
      <c r="R30" s="28"/>
      <c r="S30" s="28"/>
      <c r="T30" s="28"/>
      <c r="U30" s="28"/>
      <c r="V30" s="28"/>
    </row>
    <row r="31" spans="1:22" x14ac:dyDescent="0.25">
      <c r="A31" s="28"/>
      <c r="B31" s="1"/>
      <c r="C31" s="5"/>
      <c r="D31" s="5"/>
      <c r="E31" s="5"/>
      <c r="F31" s="5"/>
      <c r="G31" s="5"/>
      <c r="H31" s="5"/>
      <c r="I31" s="5"/>
      <c r="J31" s="5"/>
      <c r="K31" s="5"/>
      <c r="L31" s="2"/>
      <c r="M31" s="28"/>
      <c r="N31" s="28"/>
      <c r="O31" s="28"/>
      <c r="P31" s="28"/>
      <c r="Q31" s="28"/>
      <c r="R31" s="28"/>
      <c r="S31" s="28"/>
      <c r="T31" s="28"/>
      <c r="U31" s="28"/>
      <c r="V31" s="28"/>
    </row>
    <row r="32" spans="1:22" x14ac:dyDescent="0.25">
      <c r="A32" s="28"/>
      <c r="B32" s="1"/>
      <c r="C32" s="5"/>
      <c r="D32" s="5"/>
      <c r="E32" s="5"/>
      <c r="F32" s="5"/>
      <c r="G32" s="5"/>
      <c r="H32" s="5"/>
      <c r="I32" s="5"/>
      <c r="J32" s="5"/>
      <c r="K32" s="5"/>
      <c r="L32" s="2"/>
      <c r="M32" s="28"/>
      <c r="N32" s="28"/>
      <c r="O32" s="28"/>
      <c r="P32" s="28"/>
      <c r="Q32" s="28"/>
      <c r="R32" s="28"/>
      <c r="S32" s="28"/>
      <c r="T32" s="28"/>
      <c r="U32" s="28"/>
      <c r="V32" s="28"/>
    </row>
    <row r="33" spans="1:22" x14ac:dyDescent="0.25">
      <c r="A33" s="28"/>
      <c r="B33" s="1"/>
      <c r="C33" s="5"/>
      <c r="D33" s="5"/>
      <c r="E33" s="5"/>
      <c r="F33" s="5"/>
      <c r="G33" s="5"/>
      <c r="H33" s="5"/>
      <c r="I33" s="5"/>
      <c r="J33" s="5"/>
      <c r="K33" s="5"/>
      <c r="L33" s="2"/>
      <c r="M33" s="28"/>
      <c r="N33" s="28"/>
      <c r="O33" s="28"/>
      <c r="P33" s="28"/>
      <c r="Q33" s="28"/>
      <c r="R33" s="28"/>
      <c r="S33" s="28"/>
      <c r="T33" s="28"/>
      <c r="U33" s="28"/>
      <c r="V33" s="28"/>
    </row>
    <row r="34" spans="1:22" x14ac:dyDescent="0.25">
      <c r="A34" s="28"/>
      <c r="B34" s="1"/>
      <c r="C34" s="5"/>
      <c r="D34" s="5"/>
      <c r="E34" s="5"/>
      <c r="F34" s="5"/>
      <c r="G34" s="5"/>
      <c r="H34" s="5"/>
      <c r="I34" s="5"/>
      <c r="J34" s="5"/>
      <c r="K34" s="5"/>
      <c r="L34" s="2"/>
      <c r="M34" s="28"/>
      <c r="N34" s="28"/>
      <c r="O34" s="28"/>
      <c r="P34" s="28"/>
      <c r="Q34" s="28"/>
      <c r="R34" s="28"/>
      <c r="S34" s="28"/>
      <c r="T34" s="28"/>
      <c r="U34" s="28"/>
      <c r="V34" s="28"/>
    </row>
    <row r="35" spans="1:22" x14ac:dyDescent="0.25">
      <c r="A35" s="28"/>
      <c r="B35" s="1"/>
      <c r="C35" s="5"/>
      <c r="D35" s="5"/>
      <c r="E35" s="5"/>
      <c r="F35" s="5"/>
      <c r="G35" s="5"/>
      <c r="H35" s="5"/>
      <c r="I35" s="5"/>
      <c r="J35" s="5"/>
      <c r="K35" s="5"/>
      <c r="L35" s="2"/>
      <c r="M35" s="28"/>
      <c r="N35" s="28"/>
      <c r="O35" s="28"/>
      <c r="P35" s="28"/>
      <c r="Q35" s="28"/>
      <c r="R35" s="28"/>
      <c r="S35" s="28"/>
      <c r="T35" s="28"/>
      <c r="U35" s="28"/>
      <c r="V35" s="28"/>
    </row>
    <row r="36" spans="1:22" x14ac:dyDescent="0.25">
      <c r="A36" s="28"/>
      <c r="B36" s="1"/>
      <c r="C36" s="5"/>
      <c r="D36" s="5"/>
      <c r="E36" s="5"/>
      <c r="F36" s="5"/>
      <c r="G36" s="5"/>
      <c r="H36" s="5"/>
      <c r="I36" s="5"/>
      <c r="J36" s="5"/>
      <c r="K36" s="5"/>
      <c r="L36" s="2"/>
      <c r="M36" s="28"/>
      <c r="N36" s="28"/>
      <c r="O36" s="28"/>
      <c r="P36" s="28"/>
      <c r="Q36" s="28"/>
      <c r="R36" s="28"/>
      <c r="S36" s="28"/>
      <c r="T36" s="28"/>
      <c r="U36" s="28"/>
      <c r="V36" s="28"/>
    </row>
    <row r="37" spans="1:22" x14ac:dyDescent="0.25">
      <c r="A37" s="28"/>
      <c r="B37" s="1"/>
      <c r="C37" s="5"/>
      <c r="D37" s="5"/>
      <c r="E37" s="5"/>
      <c r="F37" s="5"/>
      <c r="G37" s="5"/>
      <c r="H37" s="5"/>
      <c r="I37" s="5"/>
      <c r="J37" s="5"/>
      <c r="K37" s="5"/>
      <c r="L37" s="2"/>
      <c r="M37" s="28"/>
      <c r="N37" s="28"/>
      <c r="O37" s="28"/>
      <c r="P37" s="28"/>
      <c r="Q37" s="28"/>
      <c r="R37" s="28"/>
      <c r="S37" s="28"/>
      <c r="T37" s="28"/>
      <c r="U37" s="28"/>
      <c r="V37" s="28"/>
    </row>
    <row r="38" spans="1:22" x14ac:dyDescent="0.25">
      <c r="A38" s="28"/>
      <c r="B38" s="1"/>
      <c r="C38" s="5"/>
      <c r="D38" s="5"/>
      <c r="E38" s="5"/>
      <c r="F38" s="5"/>
      <c r="G38" s="5"/>
      <c r="H38" s="5"/>
      <c r="I38" s="5"/>
      <c r="J38" s="5"/>
      <c r="K38" s="5"/>
      <c r="L38" s="2"/>
      <c r="M38" s="28"/>
      <c r="N38" s="28"/>
      <c r="O38" s="28"/>
      <c r="P38" s="28"/>
      <c r="Q38" s="28"/>
      <c r="R38" s="28"/>
      <c r="S38" s="28"/>
      <c r="T38" s="28"/>
      <c r="U38" s="28"/>
      <c r="V38" s="28"/>
    </row>
    <row r="39" spans="1:22" x14ac:dyDescent="0.25">
      <c r="A39" s="28"/>
      <c r="B39" s="1"/>
      <c r="C39" s="5"/>
      <c r="D39" s="5"/>
      <c r="E39" s="5"/>
      <c r="F39" s="5"/>
      <c r="G39" s="5"/>
      <c r="H39" s="5"/>
      <c r="I39" s="5"/>
      <c r="J39" s="5"/>
      <c r="K39" s="5"/>
      <c r="L39" s="2"/>
      <c r="M39" s="28"/>
      <c r="N39" s="28"/>
      <c r="O39" s="28"/>
      <c r="P39" s="28"/>
      <c r="Q39" s="28"/>
      <c r="R39" s="28"/>
      <c r="S39" s="28"/>
      <c r="T39" s="28"/>
      <c r="U39" s="28"/>
      <c r="V39" s="28"/>
    </row>
    <row r="40" spans="1:22" x14ac:dyDescent="0.25">
      <c r="A40" s="28"/>
      <c r="B40" s="1"/>
      <c r="C40" s="5"/>
      <c r="D40" s="5"/>
      <c r="E40" s="5"/>
      <c r="F40" s="5"/>
      <c r="G40" s="5"/>
      <c r="H40" s="5"/>
      <c r="I40" s="5"/>
      <c r="J40" s="5"/>
      <c r="K40" s="5"/>
      <c r="L40" s="2"/>
      <c r="M40" s="28"/>
      <c r="N40" s="28"/>
      <c r="O40" s="28"/>
      <c r="P40" s="28"/>
      <c r="Q40" s="28"/>
      <c r="R40" s="28"/>
      <c r="S40" s="28"/>
      <c r="T40" s="28"/>
      <c r="U40" s="28"/>
      <c r="V40" s="28"/>
    </row>
    <row r="41" spans="1:22" x14ac:dyDescent="0.25">
      <c r="A41" s="28"/>
      <c r="B41" s="1"/>
      <c r="C41" s="5"/>
      <c r="D41" s="5"/>
      <c r="E41" s="5"/>
      <c r="F41" s="5"/>
      <c r="G41" s="5"/>
      <c r="H41" s="5"/>
      <c r="I41" s="5"/>
      <c r="J41" s="5"/>
      <c r="K41" s="5"/>
      <c r="L41" s="2"/>
      <c r="M41" s="28"/>
      <c r="N41" s="28"/>
      <c r="O41" s="28"/>
      <c r="P41" s="28"/>
      <c r="Q41" s="28"/>
      <c r="R41" s="28"/>
      <c r="S41" s="28"/>
      <c r="T41" s="28"/>
      <c r="U41" s="28"/>
      <c r="V41" s="28"/>
    </row>
    <row r="42" spans="1:22" x14ac:dyDescent="0.25">
      <c r="A42" s="28"/>
      <c r="B42" s="1"/>
      <c r="C42" s="5"/>
      <c r="D42" s="5"/>
      <c r="E42" s="5"/>
      <c r="F42" s="5"/>
      <c r="G42" s="5"/>
      <c r="H42" s="5"/>
      <c r="I42" s="5"/>
      <c r="J42" s="5"/>
      <c r="K42" s="5"/>
      <c r="L42" s="2"/>
      <c r="M42" s="28"/>
      <c r="N42" s="28"/>
      <c r="O42" s="28"/>
      <c r="P42" s="28"/>
      <c r="Q42" s="28"/>
      <c r="R42" s="28"/>
      <c r="S42" s="28"/>
      <c r="T42" s="28"/>
      <c r="U42" s="28"/>
      <c r="V42" s="28"/>
    </row>
    <row r="43" spans="1:22" x14ac:dyDescent="0.25">
      <c r="A43" s="28"/>
      <c r="B43" s="1"/>
      <c r="C43" s="5"/>
      <c r="D43" s="5"/>
      <c r="E43" s="5"/>
      <c r="F43" s="5"/>
      <c r="G43" s="5"/>
      <c r="H43" s="5"/>
      <c r="I43" s="5"/>
      <c r="J43" s="5"/>
      <c r="K43" s="5"/>
      <c r="L43" s="2"/>
      <c r="M43" s="28"/>
      <c r="N43" s="28"/>
      <c r="O43" s="28"/>
      <c r="P43" s="28"/>
      <c r="Q43" s="28"/>
      <c r="R43" s="28"/>
      <c r="S43" s="28"/>
      <c r="T43" s="28"/>
      <c r="U43" s="28"/>
      <c r="V43" s="28"/>
    </row>
    <row r="44" spans="1:22" x14ac:dyDescent="0.25">
      <c r="A44" s="28"/>
      <c r="B44" s="1"/>
      <c r="C44" s="5"/>
      <c r="D44" s="5"/>
      <c r="E44" s="5"/>
      <c r="F44" s="5"/>
      <c r="G44" s="5"/>
      <c r="H44" s="5"/>
      <c r="I44" s="5"/>
      <c r="J44" s="5"/>
      <c r="K44" s="5"/>
      <c r="L44" s="2"/>
      <c r="M44" s="28"/>
      <c r="N44" s="28"/>
      <c r="O44" s="28"/>
      <c r="P44" s="28"/>
      <c r="Q44" s="28"/>
      <c r="R44" s="28"/>
      <c r="S44" s="28"/>
      <c r="T44" s="28"/>
      <c r="U44" s="28"/>
      <c r="V44" s="28"/>
    </row>
    <row r="45" spans="1:22" x14ac:dyDescent="0.25">
      <c r="A45" s="28"/>
      <c r="B45" s="1"/>
      <c r="C45" s="5"/>
      <c r="D45" s="5"/>
      <c r="E45" s="5"/>
      <c r="F45" s="5"/>
      <c r="G45" s="5"/>
      <c r="H45" s="5"/>
      <c r="I45" s="5"/>
      <c r="J45" s="5"/>
      <c r="K45" s="5"/>
      <c r="L45" s="2"/>
      <c r="M45" s="28"/>
      <c r="N45" s="28"/>
      <c r="O45" s="28"/>
      <c r="P45" s="28"/>
      <c r="Q45" s="28"/>
      <c r="R45" s="28"/>
      <c r="S45" s="28"/>
      <c r="T45" s="28"/>
      <c r="U45" s="28"/>
      <c r="V45" s="28"/>
    </row>
    <row r="46" spans="1:22" x14ac:dyDescent="0.25">
      <c r="A46" s="28"/>
      <c r="B46" s="1"/>
      <c r="C46" s="5"/>
      <c r="D46" s="5"/>
      <c r="E46" s="5"/>
      <c r="F46" s="5"/>
      <c r="G46" s="5"/>
      <c r="H46" s="5"/>
      <c r="I46" s="5"/>
      <c r="J46" s="5"/>
      <c r="K46" s="5"/>
      <c r="L46" s="2"/>
      <c r="M46" s="28"/>
      <c r="N46" s="28"/>
      <c r="O46" s="28"/>
      <c r="P46" s="28"/>
      <c r="Q46" s="28"/>
      <c r="R46" s="28"/>
      <c r="S46" s="28"/>
      <c r="T46" s="28"/>
      <c r="U46" s="28"/>
      <c r="V46" s="28"/>
    </row>
    <row r="47" spans="1:22" x14ac:dyDescent="0.25">
      <c r="A47" s="28"/>
      <c r="B47" s="1"/>
      <c r="C47" s="5"/>
      <c r="D47" s="5"/>
      <c r="E47" s="5"/>
      <c r="F47" s="5"/>
      <c r="G47" s="5"/>
      <c r="H47" s="5"/>
      <c r="I47" s="5"/>
      <c r="J47" s="5"/>
      <c r="K47" s="5"/>
      <c r="L47" s="2"/>
      <c r="M47" s="28"/>
      <c r="N47" s="28"/>
      <c r="O47" s="28"/>
      <c r="P47" s="28"/>
      <c r="Q47" s="28"/>
      <c r="R47" s="28"/>
      <c r="S47" s="28"/>
      <c r="T47" s="28"/>
      <c r="U47" s="28"/>
      <c r="V47" s="28"/>
    </row>
    <row r="48" spans="1:22" x14ac:dyDescent="0.25">
      <c r="A48" s="28"/>
      <c r="B48" s="1"/>
      <c r="C48" s="5"/>
      <c r="D48" s="5"/>
      <c r="E48" s="5"/>
      <c r="F48" s="5"/>
      <c r="G48" s="5"/>
      <c r="H48" s="5"/>
      <c r="I48" s="5"/>
      <c r="J48" s="5"/>
      <c r="K48" s="5"/>
      <c r="L48" s="2"/>
      <c r="M48" s="28"/>
      <c r="N48" s="28"/>
      <c r="O48" s="28"/>
      <c r="P48" s="28"/>
      <c r="Q48" s="28"/>
      <c r="R48" s="28"/>
      <c r="S48" s="28"/>
      <c r="T48" s="28"/>
      <c r="U48" s="28"/>
      <c r="V48" s="28"/>
    </row>
    <row r="49" spans="1:22" x14ac:dyDescent="0.25">
      <c r="A49" s="28"/>
      <c r="B49" s="1"/>
      <c r="C49" s="5"/>
      <c r="D49" s="5"/>
      <c r="E49" s="5"/>
      <c r="F49" s="5"/>
      <c r="G49" s="5"/>
      <c r="H49" s="5"/>
      <c r="I49" s="5"/>
      <c r="J49" s="5"/>
      <c r="K49" s="5"/>
      <c r="L49" s="2"/>
      <c r="M49" s="28"/>
      <c r="N49" s="28"/>
      <c r="O49" s="28"/>
      <c r="P49" s="28"/>
      <c r="Q49" s="28"/>
      <c r="R49" s="28"/>
      <c r="S49" s="28"/>
      <c r="T49" s="28"/>
      <c r="U49" s="28"/>
      <c r="V49" s="28"/>
    </row>
    <row r="50" spans="1:22" x14ac:dyDescent="0.25">
      <c r="A50" s="28"/>
      <c r="B50" s="1"/>
      <c r="C50" s="5"/>
      <c r="D50" s="5"/>
      <c r="E50" s="5"/>
      <c r="F50" s="5"/>
      <c r="G50" s="5"/>
      <c r="H50" s="5"/>
      <c r="I50" s="5"/>
      <c r="J50" s="5"/>
      <c r="K50" s="5"/>
      <c r="L50" s="2"/>
      <c r="M50" s="28"/>
      <c r="N50" s="28"/>
      <c r="O50" s="28"/>
      <c r="P50" s="28"/>
      <c r="Q50" s="28"/>
      <c r="R50" s="28"/>
      <c r="S50" s="28"/>
      <c r="T50" s="28"/>
      <c r="U50" s="28"/>
      <c r="V50" s="28"/>
    </row>
    <row r="51" spans="1:22" x14ac:dyDescent="0.25">
      <c r="A51" s="28"/>
      <c r="B51" s="1"/>
      <c r="C51" s="5"/>
      <c r="D51" s="5"/>
      <c r="E51" s="5"/>
      <c r="F51" s="5"/>
      <c r="G51" s="5"/>
      <c r="H51" s="5"/>
      <c r="I51" s="5"/>
      <c r="J51" s="5"/>
      <c r="K51" s="5"/>
      <c r="L51" s="2"/>
      <c r="M51" s="28"/>
      <c r="N51" s="28"/>
      <c r="O51" s="28"/>
      <c r="P51" s="28"/>
      <c r="Q51" s="28"/>
      <c r="R51" s="28"/>
      <c r="S51" s="28"/>
      <c r="T51" s="28"/>
      <c r="U51" s="28"/>
      <c r="V51" s="28"/>
    </row>
    <row r="52" spans="1:22" ht="15.75" customHeight="1" x14ac:dyDescent="0.25">
      <c r="A52" s="28"/>
      <c r="B52" s="1"/>
      <c r="C52" s="5"/>
      <c r="D52" s="5"/>
      <c r="E52" s="5"/>
      <c r="F52" s="5"/>
      <c r="G52" s="5"/>
      <c r="H52" s="5"/>
      <c r="I52" s="5"/>
      <c r="J52" s="5"/>
      <c r="K52" s="5"/>
      <c r="L52" s="2"/>
      <c r="M52" s="28"/>
      <c r="N52" s="28"/>
      <c r="O52" s="28"/>
      <c r="P52" s="28"/>
      <c r="Q52" s="28"/>
      <c r="R52" s="28"/>
      <c r="S52" s="28"/>
      <c r="T52" s="28"/>
      <c r="U52" s="28"/>
      <c r="V52" s="28"/>
    </row>
    <row r="53" spans="1:22" ht="15.75" customHeight="1" x14ac:dyDescent="0.25">
      <c r="A53" s="28"/>
      <c r="B53" s="1"/>
      <c r="C53" s="5"/>
      <c r="D53" s="5"/>
      <c r="E53" s="5"/>
      <c r="F53" s="5"/>
      <c r="G53" s="5"/>
      <c r="H53" s="5"/>
      <c r="I53" s="5"/>
      <c r="J53" s="5"/>
      <c r="K53" s="5"/>
      <c r="L53" s="2"/>
      <c r="M53" s="28"/>
      <c r="N53" s="28"/>
      <c r="O53" s="28"/>
      <c r="P53" s="28"/>
      <c r="Q53" s="28"/>
      <c r="R53" s="28"/>
      <c r="S53" s="28"/>
      <c r="T53" s="28"/>
      <c r="U53" s="28"/>
      <c r="V53" s="28"/>
    </row>
    <row r="54" spans="1:22" ht="13.5" customHeight="1" x14ac:dyDescent="0.25">
      <c r="A54" s="28"/>
      <c r="B54" s="1"/>
      <c r="C54" s="5"/>
      <c r="D54" s="5"/>
      <c r="E54" s="5"/>
      <c r="F54" s="5"/>
      <c r="G54" s="5"/>
      <c r="H54" s="5"/>
      <c r="I54" s="5"/>
      <c r="J54" s="5"/>
      <c r="K54" s="5"/>
      <c r="L54" s="2"/>
      <c r="M54" s="28"/>
      <c r="N54" s="28"/>
      <c r="O54" s="28"/>
      <c r="P54" s="28"/>
      <c r="Q54" s="28"/>
      <c r="R54" s="28"/>
      <c r="S54" s="28"/>
      <c r="T54" s="28"/>
      <c r="U54" s="28"/>
      <c r="V54" s="28"/>
    </row>
    <row r="55" spans="1:22" x14ac:dyDescent="0.25">
      <c r="A55" s="28"/>
      <c r="B55" s="1"/>
      <c r="C55" s="5"/>
      <c r="D55" s="5"/>
      <c r="E55" s="5"/>
      <c r="F55" s="5"/>
      <c r="G55" s="5"/>
      <c r="H55" s="5"/>
      <c r="I55" s="5"/>
      <c r="J55" s="5"/>
      <c r="K55" s="5"/>
      <c r="L55" s="2"/>
      <c r="M55" s="28"/>
      <c r="N55" s="28"/>
      <c r="O55" s="28"/>
      <c r="P55" s="28"/>
      <c r="Q55" s="28"/>
      <c r="R55" s="28"/>
      <c r="S55" s="28"/>
      <c r="T55" s="28"/>
      <c r="U55" s="28"/>
      <c r="V55" s="28"/>
    </row>
    <row r="56" spans="1:22" x14ac:dyDescent="0.25">
      <c r="A56" s="28"/>
      <c r="B56" s="1"/>
      <c r="C56" s="5"/>
      <c r="D56" s="5"/>
      <c r="E56" s="5"/>
      <c r="F56" s="5"/>
      <c r="G56" s="5"/>
      <c r="H56" s="5"/>
      <c r="I56" s="5"/>
      <c r="J56" s="5"/>
      <c r="K56" s="5"/>
      <c r="L56" s="2"/>
      <c r="M56" s="28"/>
      <c r="N56" s="28"/>
      <c r="O56" s="28"/>
      <c r="P56" s="28"/>
      <c r="Q56" s="28"/>
      <c r="R56" s="28"/>
      <c r="S56" s="28"/>
      <c r="T56" s="28"/>
      <c r="U56" s="28"/>
      <c r="V56" s="28"/>
    </row>
    <row r="57" spans="1:22" x14ac:dyDescent="0.25">
      <c r="A57" s="28"/>
      <c r="B57" s="1"/>
      <c r="C57" s="5"/>
      <c r="D57" s="5"/>
      <c r="E57" s="5"/>
      <c r="F57" s="5"/>
      <c r="G57" s="5"/>
      <c r="H57" s="5"/>
      <c r="I57" s="5"/>
      <c r="J57" s="5"/>
      <c r="K57" s="5"/>
      <c r="L57" s="2"/>
      <c r="M57" s="28"/>
      <c r="N57" s="28"/>
      <c r="O57" s="28"/>
      <c r="P57" s="28"/>
      <c r="Q57" s="28"/>
      <c r="R57" s="28"/>
      <c r="S57" s="28"/>
      <c r="T57" s="28"/>
      <c r="U57" s="28"/>
      <c r="V57" s="28"/>
    </row>
    <row r="58" spans="1:22" x14ac:dyDescent="0.25">
      <c r="A58" s="28"/>
      <c r="B58" s="1"/>
      <c r="C58" s="5"/>
      <c r="D58" s="5"/>
      <c r="E58" s="5"/>
      <c r="F58" s="5"/>
      <c r="G58" s="5"/>
      <c r="H58" s="5"/>
      <c r="I58" s="5"/>
      <c r="J58" s="5"/>
      <c r="K58" s="5"/>
      <c r="L58" s="2"/>
      <c r="M58" s="28"/>
      <c r="N58" s="28"/>
      <c r="O58" s="28"/>
      <c r="P58" s="28"/>
      <c r="Q58" s="28"/>
      <c r="R58" s="28"/>
      <c r="S58" s="28"/>
      <c r="T58" s="28"/>
      <c r="U58" s="28"/>
      <c r="V58" s="28"/>
    </row>
    <row r="59" spans="1:22" x14ac:dyDescent="0.25">
      <c r="A59" s="28"/>
      <c r="B59" s="1"/>
      <c r="C59" s="5"/>
      <c r="D59" s="5"/>
      <c r="E59" s="5"/>
      <c r="F59" s="5"/>
      <c r="G59" s="5"/>
      <c r="H59" s="5"/>
      <c r="I59" s="5"/>
      <c r="J59" s="5"/>
      <c r="K59" s="5"/>
      <c r="L59" s="2"/>
      <c r="M59" s="28"/>
      <c r="N59" s="28"/>
      <c r="O59" s="28"/>
      <c r="P59" s="28"/>
      <c r="Q59" s="28"/>
      <c r="R59" s="28"/>
      <c r="S59" s="28"/>
      <c r="T59" s="28"/>
      <c r="U59" s="28"/>
      <c r="V59" s="28"/>
    </row>
    <row r="60" spans="1:22" x14ac:dyDescent="0.25">
      <c r="A60" s="28"/>
      <c r="B60" s="1"/>
      <c r="C60" s="5"/>
      <c r="D60" s="5"/>
      <c r="E60" s="5"/>
      <c r="F60" s="5"/>
      <c r="G60" s="5"/>
      <c r="H60" s="5"/>
      <c r="I60" s="5"/>
      <c r="J60" s="5"/>
      <c r="K60" s="5"/>
      <c r="L60" s="2"/>
      <c r="M60" s="28"/>
      <c r="N60" s="28"/>
      <c r="O60" s="28"/>
      <c r="P60" s="28"/>
      <c r="Q60" s="28"/>
      <c r="R60" s="28"/>
      <c r="S60" s="28"/>
      <c r="T60" s="28"/>
      <c r="U60" s="28"/>
      <c r="V60" s="28"/>
    </row>
    <row r="61" spans="1:22" x14ac:dyDescent="0.25">
      <c r="A61" s="28"/>
      <c r="B61" s="1"/>
      <c r="C61" s="5"/>
      <c r="D61" s="5"/>
      <c r="E61" s="5"/>
      <c r="F61" s="5"/>
      <c r="G61" s="5"/>
      <c r="H61" s="5"/>
      <c r="I61" s="5"/>
      <c r="J61" s="5"/>
      <c r="K61" s="5"/>
      <c r="L61" s="2"/>
      <c r="M61" s="28"/>
      <c r="N61" s="28"/>
      <c r="O61" s="28"/>
      <c r="P61" s="28"/>
      <c r="Q61" s="28"/>
      <c r="R61" s="28"/>
      <c r="S61" s="28"/>
      <c r="T61" s="28"/>
      <c r="U61" s="28"/>
      <c r="V61" s="28"/>
    </row>
    <row r="62" spans="1:22" x14ac:dyDescent="0.25">
      <c r="A62" s="28"/>
      <c r="B62" s="1"/>
      <c r="C62" s="5"/>
      <c r="D62" s="5"/>
      <c r="E62" s="5"/>
      <c r="F62" s="5"/>
      <c r="G62" s="5"/>
      <c r="H62" s="5"/>
      <c r="I62" s="5"/>
      <c r="J62" s="5"/>
      <c r="K62" s="5"/>
      <c r="L62" s="2"/>
      <c r="M62" s="28"/>
      <c r="N62" s="28"/>
      <c r="O62" s="28"/>
      <c r="P62" s="28"/>
      <c r="Q62" s="28"/>
      <c r="R62" s="28"/>
      <c r="S62" s="28"/>
      <c r="T62" s="28"/>
      <c r="U62" s="28"/>
      <c r="V62" s="28"/>
    </row>
    <row r="63" spans="1:22" x14ac:dyDescent="0.25">
      <c r="A63" s="28"/>
      <c r="B63" s="1"/>
      <c r="C63" s="5"/>
      <c r="D63" s="5"/>
      <c r="E63" s="5"/>
      <c r="F63" s="5"/>
      <c r="G63" s="5"/>
      <c r="H63" s="5"/>
      <c r="I63" s="5"/>
      <c r="J63" s="5"/>
      <c r="K63" s="5"/>
      <c r="L63" s="2"/>
      <c r="M63" s="28"/>
      <c r="N63" s="28"/>
      <c r="O63" s="28"/>
      <c r="P63" s="28"/>
      <c r="Q63" s="28"/>
      <c r="R63" s="28"/>
      <c r="S63" s="28"/>
      <c r="T63" s="28"/>
      <c r="U63" s="28"/>
      <c r="V63" s="28"/>
    </row>
    <row r="64" spans="1:22" x14ac:dyDescent="0.25">
      <c r="A64" s="28"/>
      <c r="B64" s="1"/>
      <c r="C64" s="5"/>
      <c r="D64" s="5"/>
      <c r="E64" s="5"/>
      <c r="F64" s="5"/>
      <c r="G64" s="5"/>
      <c r="H64" s="5"/>
      <c r="I64" s="5"/>
      <c r="J64" s="5"/>
      <c r="K64" s="5"/>
      <c r="L64" s="2"/>
      <c r="M64" s="28"/>
      <c r="N64" s="28"/>
      <c r="O64" s="28"/>
      <c r="P64" s="28"/>
      <c r="Q64" s="28"/>
      <c r="R64" s="28"/>
      <c r="S64" s="28"/>
      <c r="T64" s="28"/>
      <c r="U64" s="28"/>
      <c r="V64" s="28"/>
    </row>
    <row r="65" spans="1:22" x14ac:dyDescent="0.25">
      <c r="A65" s="28"/>
      <c r="B65" s="1"/>
      <c r="C65" s="5"/>
      <c r="D65" s="5"/>
      <c r="E65" s="5"/>
      <c r="F65" s="5"/>
      <c r="G65" s="5"/>
      <c r="H65" s="5"/>
      <c r="I65" s="5"/>
      <c r="J65" s="5"/>
      <c r="K65" s="5"/>
      <c r="L65" s="2"/>
      <c r="M65" s="28"/>
      <c r="N65" s="28"/>
      <c r="O65" s="28"/>
      <c r="P65" s="28"/>
      <c r="Q65" s="28"/>
      <c r="R65" s="28"/>
      <c r="S65" s="28"/>
      <c r="T65" s="28"/>
      <c r="U65" s="28"/>
      <c r="V65" s="28"/>
    </row>
    <row r="66" spans="1:22" x14ac:dyDescent="0.25">
      <c r="A66" s="28"/>
      <c r="B66" s="1"/>
      <c r="C66" s="5"/>
      <c r="D66" s="5"/>
      <c r="E66" s="5"/>
      <c r="F66" s="5"/>
      <c r="G66" s="5"/>
      <c r="H66" s="5"/>
      <c r="I66" s="5"/>
      <c r="J66" s="5"/>
      <c r="K66" s="5"/>
      <c r="L66" s="2"/>
      <c r="M66" s="28"/>
      <c r="N66" s="28"/>
      <c r="O66" s="28"/>
      <c r="P66" s="28"/>
      <c r="Q66" s="28"/>
      <c r="R66" s="28"/>
      <c r="S66" s="28"/>
      <c r="T66" s="28"/>
      <c r="U66" s="28"/>
      <c r="V66" s="28"/>
    </row>
    <row r="67" spans="1:22" x14ac:dyDescent="0.25">
      <c r="A67" s="28"/>
      <c r="B67" s="1"/>
      <c r="C67" s="5"/>
      <c r="D67" s="5"/>
      <c r="E67" s="5"/>
      <c r="F67" s="5"/>
      <c r="G67" s="5"/>
      <c r="H67" s="5"/>
      <c r="I67" s="5"/>
      <c r="J67" s="5"/>
      <c r="K67" s="5"/>
      <c r="L67" s="2"/>
      <c r="M67" s="28"/>
      <c r="N67" s="28"/>
      <c r="O67" s="28"/>
      <c r="P67" s="28"/>
      <c r="Q67" s="28"/>
      <c r="R67" s="28"/>
      <c r="S67" s="28"/>
      <c r="T67" s="28"/>
      <c r="U67" s="28"/>
      <c r="V67" s="28"/>
    </row>
    <row r="68" spans="1:22" x14ac:dyDescent="0.25">
      <c r="A68" s="28"/>
      <c r="B68" s="1"/>
      <c r="C68" s="5"/>
      <c r="D68" s="5"/>
      <c r="E68" s="5"/>
      <c r="F68" s="5"/>
      <c r="G68" s="5"/>
      <c r="H68" s="5"/>
      <c r="I68" s="5"/>
      <c r="J68" s="5"/>
      <c r="K68" s="5"/>
      <c r="L68" s="2"/>
      <c r="M68" s="28"/>
      <c r="N68" s="28"/>
      <c r="O68" s="28"/>
      <c r="P68" s="28"/>
      <c r="Q68" s="28"/>
      <c r="R68" s="28"/>
      <c r="S68" s="28"/>
      <c r="T68" s="28"/>
      <c r="U68" s="28"/>
      <c r="V68" s="28"/>
    </row>
    <row r="69" spans="1:22" x14ac:dyDescent="0.25">
      <c r="A69" s="28"/>
      <c r="B69" s="1"/>
      <c r="C69" s="5"/>
      <c r="D69" s="5"/>
      <c r="E69" s="5"/>
      <c r="F69" s="5"/>
      <c r="G69" s="5"/>
      <c r="H69" s="5"/>
      <c r="I69" s="5"/>
      <c r="J69" s="5"/>
      <c r="K69" s="5"/>
      <c r="L69" s="2"/>
      <c r="M69" s="28"/>
      <c r="N69" s="28"/>
      <c r="O69" s="28"/>
      <c r="P69" s="28"/>
      <c r="Q69" s="28"/>
      <c r="R69" s="28"/>
      <c r="S69" s="28"/>
      <c r="T69" s="28"/>
      <c r="U69" s="28"/>
      <c r="V69" s="28"/>
    </row>
    <row r="70" spans="1:22" x14ac:dyDescent="0.25">
      <c r="A70" s="28"/>
      <c r="B70" s="1"/>
      <c r="C70" s="5"/>
      <c r="D70" s="5"/>
      <c r="E70" s="5"/>
      <c r="F70" s="5"/>
      <c r="G70" s="5"/>
      <c r="H70" s="5"/>
      <c r="I70" s="5"/>
      <c r="J70" s="5"/>
      <c r="K70" s="5"/>
      <c r="L70" s="2"/>
      <c r="M70" s="28"/>
      <c r="N70" s="28"/>
      <c r="O70" s="28"/>
      <c r="P70" s="28"/>
      <c r="Q70" s="28"/>
      <c r="R70" s="28"/>
      <c r="S70" s="28"/>
      <c r="T70" s="28"/>
      <c r="U70" s="28"/>
      <c r="V70" s="28"/>
    </row>
    <row r="71" spans="1:22" x14ac:dyDescent="0.25">
      <c r="A71" s="28"/>
      <c r="B71" s="1"/>
      <c r="C71" s="5"/>
      <c r="D71" s="5"/>
      <c r="E71" s="5"/>
      <c r="F71" s="5"/>
      <c r="G71" s="5"/>
      <c r="H71" s="5"/>
      <c r="I71" s="5"/>
      <c r="J71" s="5"/>
      <c r="K71" s="5"/>
      <c r="L71" s="2"/>
      <c r="M71" s="28"/>
      <c r="N71" s="28"/>
      <c r="O71" s="28"/>
      <c r="P71" s="28"/>
      <c r="Q71" s="28"/>
      <c r="R71" s="28"/>
      <c r="S71" s="28"/>
      <c r="T71" s="28"/>
      <c r="U71" s="28"/>
      <c r="V71" s="28"/>
    </row>
    <row r="72" spans="1:22" x14ac:dyDescent="0.25">
      <c r="A72" s="28"/>
      <c r="B72" s="1"/>
      <c r="C72" s="5"/>
      <c r="D72" s="5"/>
      <c r="E72" s="5"/>
      <c r="F72" s="5"/>
      <c r="G72" s="5"/>
      <c r="H72" s="5"/>
      <c r="I72" s="5"/>
      <c r="J72" s="5"/>
      <c r="K72" s="5"/>
      <c r="L72" s="2"/>
      <c r="M72" s="28"/>
      <c r="N72" s="28"/>
      <c r="O72" s="28"/>
      <c r="P72" s="28"/>
      <c r="Q72" s="28"/>
      <c r="R72" s="28"/>
      <c r="S72" s="28"/>
      <c r="T72" s="28"/>
      <c r="U72" s="28"/>
      <c r="V72" s="28"/>
    </row>
    <row r="73" spans="1:22" x14ac:dyDescent="0.25">
      <c r="A73" s="28"/>
      <c r="B73" s="1"/>
      <c r="C73" s="5"/>
      <c r="D73" s="5"/>
      <c r="E73" s="5"/>
      <c r="F73" s="5"/>
      <c r="G73" s="5"/>
      <c r="H73" s="5"/>
      <c r="I73" s="5"/>
      <c r="J73" s="5"/>
      <c r="K73" s="5"/>
      <c r="L73" s="2"/>
      <c r="M73" s="28"/>
      <c r="N73" s="28"/>
      <c r="O73" s="28"/>
      <c r="P73" s="28"/>
      <c r="Q73" s="28"/>
      <c r="R73" s="28"/>
      <c r="S73" s="28"/>
      <c r="T73" s="28"/>
      <c r="U73" s="28"/>
      <c r="V73" s="28"/>
    </row>
    <row r="74" spans="1:22" x14ac:dyDescent="0.25">
      <c r="A74" s="28"/>
      <c r="B74" s="1"/>
      <c r="C74" s="5"/>
      <c r="D74" s="5"/>
      <c r="E74" s="5"/>
      <c r="F74" s="5"/>
      <c r="G74" s="5"/>
      <c r="H74" s="5"/>
      <c r="I74" s="5"/>
      <c r="J74" s="5"/>
      <c r="K74" s="5"/>
      <c r="L74" s="2"/>
      <c r="M74" s="28"/>
      <c r="N74" s="28"/>
      <c r="O74" s="28"/>
      <c r="P74" s="28"/>
      <c r="Q74" s="28"/>
      <c r="R74" s="28"/>
      <c r="S74" s="28"/>
      <c r="T74" s="28"/>
      <c r="U74" s="28"/>
      <c r="V74" s="28"/>
    </row>
    <row r="75" spans="1:22" x14ac:dyDescent="0.25">
      <c r="A75" s="28"/>
      <c r="B75" s="1"/>
      <c r="C75" s="5"/>
      <c r="D75" s="5"/>
      <c r="E75" s="5"/>
      <c r="F75" s="5"/>
      <c r="G75" s="5"/>
      <c r="H75" s="5"/>
      <c r="I75" s="5"/>
      <c r="J75" s="5"/>
      <c r="K75" s="5"/>
      <c r="L75" s="2"/>
      <c r="M75" s="28"/>
      <c r="N75" s="28"/>
      <c r="O75" s="28"/>
      <c r="P75" s="28"/>
      <c r="Q75" s="28"/>
      <c r="R75" s="28"/>
      <c r="S75" s="28"/>
      <c r="T75" s="28"/>
      <c r="U75" s="28"/>
      <c r="V75" s="28"/>
    </row>
    <row r="76" spans="1:22" x14ac:dyDescent="0.25">
      <c r="A76" s="28"/>
      <c r="B76" s="1"/>
      <c r="C76" s="5"/>
      <c r="D76" s="5"/>
      <c r="E76" s="5"/>
      <c r="F76" s="5"/>
      <c r="G76" s="5"/>
      <c r="H76" s="5"/>
      <c r="I76" s="5"/>
      <c r="J76" s="5"/>
      <c r="K76" s="5"/>
      <c r="L76" s="2"/>
      <c r="M76" s="28"/>
      <c r="N76" s="28"/>
      <c r="O76" s="28"/>
      <c r="P76" s="28"/>
      <c r="Q76" s="28"/>
      <c r="R76" s="28"/>
      <c r="S76" s="28"/>
      <c r="T76" s="28"/>
      <c r="U76" s="28"/>
      <c r="V76" s="28"/>
    </row>
    <row r="77" spans="1:22" x14ac:dyDescent="0.25">
      <c r="A77" s="28"/>
      <c r="B77" s="1"/>
      <c r="C77" s="5"/>
      <c r="D77" s="5"/>
      <c r="E77" s="5"/>
      <c r="F77" s="5"/>
      <c r="G77" s="5"/>
      <c r="H77" s="5"/>
      <c r="I77" s="5"/>
      <c r="J77" s="5"/>
      <c r="K77" s="5"/>
      <c r="L77" s="2"/>
      <c r="M77" s="28"/>
      <c r="N77" s="28"/>
      <c r="O77" s="28"/>
      <c r="P77" s="28"/>
      <c r="Q77" s="28"/>
      <c r="R77" s="28"/>
      <c r="S77" s="28"/>
      <c r="T77" s="28"/>
      <c r="U77" s="28"/>
      <c r="V77" s="28"/>
    </row>
    <row r="78" spans="1:22" x14ac:dyDescent="0.25">
      <c r="A78" s="28"/>
      <c r="B78" s="1"/>
      <c r="C78" s="5"/>
      <c r="D78" s="5"/>
      <c r="E78" s="5"/>
      <c r="F78" s="5"/>
      <c r="G78" s="5"/>
      <c r="H78" s="5"/>
      <c r="I78" s="5"/>
      <c r="J78" s="5"/>
      <c r="K78" s="5"/>
      <c r="L78" s="2"/>
      <c r="M78" s="28"/>
      <c r="N78" s="28"/>
      <c r="O78" s="28"/>
      <c r="P78" s="28"/>
      <c r="Q78" s="28"/>
      <c r="R78" s="28"/>
      <c r="S78" s="28"/>
      <c r="T78" s="28"/>
      <c r="U78" s="28"/>
      <c r="V78" s="28"/>
    </row>
    <row r="79" spans="1:22" x14ac:dyDescent="0.25">
      <c r="A79" s="28"/>
      <c r="B79" s="1"/>
      <c r="C79" s="5"/>
      <c r="D79" s="5"/>
      <c r="E79" s="5"/>
      <c r="F79" s="5"/>
      <c r="G79" s="5"/>
      <c r="H79" s="5"/>
      <c r="I79" s="5"/>
      <c r="J79" s="5"/>
      <c r="K79" s="5"/>
      <c r="L79" s="2"/>
      <c r="M79" s="28"/>
      <c r="N79" s="28"/>
      <c r="O79" s="28"/>
      <c r="P79" s="28"/>
      <c r="Q79" s="28"/>
      <c r="R79" s="28"/>
      <c r="S79" s="28"/>
      <c r="T79" s="28"/>
      <c r="U79" s="28"/>
      <c r="V79" s="28"/>
    </row>
    <row r="80" spans="1:22" x14ac:dyDescent="0.25">
      <c r="A80" s="28"/>
      <c r="B80" s="1"/>
      <c r="C80" s="5"/>
      <c r="D80" s="5"/>
      <c r="E80" s="5"/>
      <c r="F80" s="5"/>
      <c r="G80" s="5"/>
      <c r="H80" s="5"/>
      <c r="I80" s="5"/>
      <c r="J80" s="5"/>
      <c r="K80" s="5"/>
      <c r="L80" s="2"/>
      <c r="M80" s="28"/>
      <c r="N80" s="28"/>
      <c r="O80" s="28"/>
      <c r="P80" s="28"/>
      <c r="Q80" s="28"/>
      <c r="R80" s="28"/>
      <c r="S80" s="28"/>
      <c r="T80" s="28"/>
      <c r="U80" s="28"/>
      <c r="V80" s="28"/>
    </row>
    <row r="81" spans="1:22" x14ac:dyDescent="0.25">
      <c r="A81" s="28"/>
      <c r="B81" s="1"/>
      <c r="C81" s="5"/>
      <c r="D81" s="5"/>
      <c r="E81" s="5"/>
      <c r="F81" s="5"/>
      <c r="G81" s="5"/>
      <c r="H81" s="5"/>
      <c r="I81" s="5"/>
      <c r="J81" s="5"/>
      <c r="K81" s="5"/>
      <c r="L81" s="2"/>
      <c r="M81" s="28"/>
      <c r="N81" s="28"/>
      <c r="O81" s="28"/>
      <c r="P81" s="28"/>
      <c r="Q81" s="28"/>
      <c r="R81" s="28"/>
      <c r="S81" s="28"/>
      <c r="T81" s="28"/>
      <c r="U81" s="28"/>
      <c r="V81" s="28"/>
    </row>
    <row r="82" spans="1:22" x14ac:dyDescent="0.25">
      <c r="A82" s="28"/>
      <c r="B82" s="1"/>
      <c r="C82" s="5"/>
      <c r="D82" s="5"/>
      <c r="E82" s="5"/>
      <c r="F82" s="5"/>
      <c r="G82" s="5"/>
      <c r="H82" s="5"/>
      <c r="I82" s="5"/>
      <c r="J82" s="5"/>
      <c r="K82" s="5"/>
      <c r="L82" s="2"/>
      <c r="M82" s="28"/>
      <c r="N82" s="28"/>
      <c r="O82" s="28"/>
      <c r="P82" s="28"/>
      <c r="Q82" s="28"/>
      <c r="R82" s="28"/>
      <c r="S82" s="28"/>
      <c r="T82" s="28"/>
      <c r="U82" s="28"/>
      <c r="V82" s="28"/>
    </row>
    <row r="83" spans="1:22" x14ac:dyDescent="0.25">
      <c r="A83" s="28"/>
      <c r="B83" s="1"/>
      <c r="C83" s="5"/>
      <c r="D83" s="5"/>
      <c r="E83" s="5"/>
      <c r="F83" s="5"/>
      <c r="G83" s="5"/>
      <c r="H83" s="5"/>
      <c r="I83" s="5"/>
      <c r="J83" s="5"/>
      <c r="K83" s="5"/>
      <c r="L83" s="2"/>
      <c r="M83" s="28"/>
      <c r="N83" s="28"/>
      <c r="O83" s="28"/>
      <c r="P83" s="28"/>
      <c r="Q83" s="28"/>
      <c r="R83" s="28"/>
      <c r="S83" s="28"/>
      <c r="T83" s="28"/>
      <c r="U83" s="28"/>
      <c r="V83" s="28"/>
    </row>
    <row r="84" spans="1:22" x14ac:dyDescent="0.25">
      <c r="A84" s="28"/>
      <c r="B84" s="1"/>
      <c r="C84" s="5"/>
      <c r="D84" s="5"/>
      <c r="E84" s="5"/>
      <c r="F84" s="5"/>
      <c r="G84" s="5"/>
      <c r="H84" s="5"/>
      <c r="I84" s="5"/>
      <c r="J84" s="5"/>
      <c r="K84" s="5"/>
      <c r="L84" s="2"/>
      <c r="M84" s="28"/>
      <c r="N84" s="28"/>
      <c r="O84" s="28"/>
      <c r="P84" s="28"/>
      <c r="Q84" s="28"/>
      <c r="R84" s="28"/>
      <c r="S84" s="28"/>
      <c r="T84" s="28"/>
      <c r="U84" s="28"/>
      <c r="V84" s="28"/>
    </row>
    <row r="85" spans="1:22" x14ac:dyDescent="0.25">
      <c r="A85" s="28"/>
      <c r="B85" s="1"/>
      <c r="C85" s="5"/>
      <c r="D85" s="5"/>
      <c r="E85" s="5"/>
      <c r="F85" s="5"/>
      <c r="G85" s="5"/>
      <c r="H85" s="5"/>
      <c r="I85" s="5"/>
      <c r="J85" s="5"/>
      <c r="K85" s="5"/>
      <c r="L85" s="2"/>
      <c r="M85" s="28"/>
      <c r="N85" s="28"/>
      <c r="O85" s="28"/>
      <c r="P85" s="28"/>
      <c r="Q85" s="28"/>
      <c r="R85" s="28"/>
      <c r="S85" s="28"/>
      <c r="T85" s="28"/>
      <c r="U85" s="28"/>
      <c r="V85" s="28"/>
    </row>
    <row r="86" spans="1:22" x14ac:dyDescent="0.25">
      <c r="A86" s="28"/>
      <c r="B86" s="1"/>
      <c r="C86" s="5"/>
      <c r="D86" s="5"/>
      <c r="E86" s="5"/>
      <c r="F86" s="5"/>
      <c r="G86" s="5"/>
      <c r="H86" s="5"/>
      <c r="I86" s="5"/>
      <c r="J86" s="5"/>
      <c r="K86" s="5"/>
      <c r="L86" s="2"/>
      <c r="M86" s="28"/>
      <c r="N86" s="28"/>
      <c r="O86" s="28"/>
      <c r="P86" s="28"/>
      <c r="Q86" s="28"/>
      <c r="R86" s="28"/>
      <c r="S86" s="28"/>
      <c r="T86" s="28"/>
      <c r="U86" s="28"/>
      <c r="V86" s="28"/>
    </row>
    <row r="87" spans="1:22" x14ac:dyDescent="0.25">
      <c r="A87" s="28"/>
      <c r="B87" s="1"/>
      <c r="C87" s="5"/>
      <c r="D87" s="5"/>
      <c r="E87" s="5"/>
      <c r="F87" s="5"/>
      <c r="G87" s="5"/>
      <c r="H87" s="5"/>
      <c r="I87" s="5"/>
      <c r="J87" s="5"/>
      <c r="K87" s="5"/>
      <c r="L87" s="2"/>
      <c r="M87" s="28"/>
      <c r="N87" s="28"/>
      <c r="O87" s="28"/>
      <c r="P87" s="28"/>
      <c r="Q87" s="28"/>
      <c r="R87" s="28"/>
      <c r="S87" s="28"/>
      <c r="T87" s="28"/>
      <c r="U87" s="28"/>
      <c r="V87" s="28"/>
    </row>
    <row r="88" spans="1:22" x14ac:dyDescent="0.25">
      <c r="A88" s="28"/>
      <c r="B88" s="1"/>
      <c r="C88" s="5"/>
      <c r="D88" s="5"/>
      <c r="E88" s="5"/>
      <c r="F88" s="5"/>
      <c r="G88" s="5"/>
      <c r="H88" s="5"/>
      <c r="I88" s="5"/>
      <c r="J88" s="5"/>
      <c r="K88" s="5"/>
      <c r="L88" s="2"/>
      <c r="M88" s="28"/>
      <c r="N88" s="28"/>
      <c r="O88" s="28"/>
      <c r="P88" s="28"/>
      <c r="Q88" s="28"/>
      <c r="R88" s="28"/>
      <c r="S88" s="28"/>
      <c r="T88" s="28"/>
      <c r="U88" s="28"/>
      <c r="V88" s="28"/>
    </row>
    <row r="89" spans="1:22" x14ac:dyDescent="0.25">
      <c r="A89" s="28"/>
      <c r="B89" s="1"/>
      <c r="C89" s="5"/>
      <c r="D89" s="5"/>
      <c r="E89" s="5"/>
      <c r="F89" s="5"/>
      <c r="G89" s="5"/>
      <c r="H89" s="5"/>
      <c r="I89" s="5"/>
      <c r="J89" s="5"/>
      <c r="K89" s="5"/>
      <c r="L89" s="2"/>
      <c r="M89" s="28"/>
      <c r="N89" s="28"/>
      <c r="O89" s="28"/>
      <c r="P89" s="28"/>
      <c r="Q89" s="28"/>
      <c r="R89" s="28"/>
      <c r="S89" s="28"/>
      <c r="T89" s="28"/>
      <c r="U89" s="28"/>
      <c r="V89" s="28"/>
    </row>
    <row r="90" spans="1:22" x14ac:dyDescent="0.25">
      <c r="A90" s="28"/>
      <c r="B90" s="1"/>
      <c r="C90" s="5"/>
      <c r="D90" s="5"/>
      <c r="E90" s="5"/>
      <c r="F90" s="5"/>
      <c r="G90" s="5"/>
      <c r="H90" s="5"/>
      <c r="I90" s="5"/>
      <c r="J90" s="5"/>
      <c r="K90" s="5"/>
      <c r="L90" s="2"/>
      <c r="M90" s="28"/>
      <c r="N90" s="28"/>
      <c r="O90" s="28"/>
      <c r="P90" s="28"/>
      <c r="Q90" s="28"/>
      <c r="R90" s="28"/>
      <c r="S90" s="28"/>
      <c r="T90" s="28"/>
      <c r="U90" s="28"/>
      <c r="V90" s="28"/>
    </row>
    <row r="91" spans="1:22" x14ac:dyDescent="0.25">
      <c r="A91" s="28"/>
      <c r="B91" s="1"/>
      <c r="C91" s="5"/>
      <c r="D91" s="5"/>
      <c r="E91" s="5"/>
      <c r="F91" s="5"/>
      <c r="G91" s="5"/>
      <c r="H91" s="5"/>
      <c r="I91" s="5"/>
      <c r="J91" s="5"/>
      <c r="K91" s="5"/>
      <c r="L91" s="2"/>
      <c r="M91" s="28"/>
      <c r="N91" s="28"/>
      <c r="O91" s="28"/>
      <c r="P91" s="28"/>
      <c r="Q91" s="28"/>
      <c r="R91" s="28"/>
      <c r="S91" s="28"/>
      <c r="T91" s="28"/>
      <c r="U91" s="28"/>
      <c r="V91" s="28"/>
    </row>
    <row r="92" spans="1:22" x14ac:dyDescent="0.25">
      <c r="A92" s="28"/>
      <c r="B92" s="1"/>
      <c r="C92" s="5"/>
      <c r="D92" s="5"/>
      <c r="E92" s="5"/>
      <c r="F92" s="5"/>
      <c r="G92" s="5"/>
      <c r="H92" s="5"/>
      <c r="I92" s="5"/>
      <c r="J92" s="5"/>
      <c r="K92" s="5"/>
      <c r="L92" s="2"/>
      <c r="M92" s="28"/>
      <c r="N92" s="28"/>
      <c r="O92" s="28"/>
      <c r="P92" s="28"/>
      <c r="Q92" s="28"/>
      <c r="R92" s="28"/>
      <c r="S92" s="28"/>
      <c r="T92" s="28"/>
      <c r="U92" s="28"/>
      <c r="V92" s="28"/>
    </row>
    <row r="93" spans="1:22" x14ac:dyDescent="0.25">
      <c r="A93" s="28"/>
      <c r="B93" s="1"/>
      <c r="C93" s="5"/>
      <c r="D93" s="5"/>
      <c r="E93" s="5"/>
      <c r="F93" s="5"/>
      <c r="G93" s="5"/>
      <c r="H93" s="5"/>
      <c r="I93" s="5"/>
      <c r="J93" s="5"/>
      <c r="K93" s="5"/>
      <c r="L93" s="2"/>
      <c r="M93" s="28"/>
      <c r="N93" s="28"/>
      <c r="O93" s="28"/>
      <c r="P93" s="28"/>
      <c r="Q93" s="28"/>
      <c r="R93" s="28"/>
      <c r="S93" s="28"/>
      <c r="T93" s="28"/>
      <c r="U93" s="28"/>
      <c r="V93" s="28"/>
    </row>
    <row r="94" spans="1:22" x14ac:dyDescent="0.25">
      <c r="A94" s="28"/>
      <c r="B94" s="1"/>
      <c r="C94" s="5"/>
      <c r="D94" s="5"/>
      <c r="E94" s="5"/>
      <c r="F94" s="5"/>
      <c r="G94" s="5"/>
      <c r="H94" s="5"/>
      <c r="I94" s="5"/>
      <c r="J94" s="5"/>
      <c r="K94" s="5"/>
      <c r="L94" s="2"/>
      <c r="M94" s="28"/>
      <c r="N94" s="28"/>
      <c r="O94" s="28"/>
      <c r="P94" s="28"/>
      <c r="Q94" s="28"/>
      <c r="R94" s="28"/>
      <c r="S94" s="28"/>
      <c r="T94" s="28"/>
      <c r="U94" s="28"/>
      <c r="V94" s="28"/>
    </row>
    <row r="95" spans="1:22" x14ac:dyDescent="0.25">
      <c r="A95" s="28"/>
      <c r="B95" s="1"/>
      <c r="C95" s="5"/>
      <c r="D95" s="5"/>
      <c r="E95" s="5"/>
      <c r="F95" s="5"/>
      <c r="G95" s="5"/>
      <c r="H95" s="5"/>
      <c r="I95" s="5"/>
      <c r="J95" s="5"/>
      <c r="K95" s="5"/>
      <c r="L95" s="2"/>
      <c r="M95" s="28"/>
      <c r="N95" s="28"/>
      <c r="O95" s="28"/>
      <c r="P95" s="28"/>
      <c r="Q95" s="28"/>
      <c r="R95" s="28"/>
      <c r="S95" s="28"/>
      <c r="T95" s="28"/>
      <c r="U95" s="28"/>
      <c r="V95" s="28"/>
    </row>
    <row r="96" spans="1:22" ht="13.5" customHeight="1" x14ac:dyDescent="0.25">
      <c r="A96" s="28"/>
      <c r="B96" s="1"/>
      <c r="C96" s="5"/>
      <c r="D96" s="5"/>
      <c r="E96" s="5"/>
      <c r="F96" s="5"/>
      <c r="G96" s="5"/>
      <c r="H96" s="5"/>
      <c r="I96" s="5"/>
      <c r="J96" s="5"/>
      <c r="K96" s="5"/>
      <c r="L96" s="2"/>
      <c r="M96" s="28"/>
      <c r="N96" s="28"/>
      <c r="O96" s="28"/>
      <c r="P96" s="28"/>
      <c r="Q96" s="28"/>
      <c r="R96" s="28"/>
      <c r="S96" s="28"/>
      <c r="T96" s="28"/>
      <c r="U96" s="28"/>
      <c r="V96" s="28"/>
    </row>
    <row r="97" spans="1:22" x14ac:dyDescent="0.25">
      <c r="A97" s="28"/>
      <c r="B97" s="3"/>
      <c r="C97" s="6"/>
      <c r="D97" s="6"/>
      <c r="E97" s="6"/>
      <c r="F97" s="6"/>
      <c r="G97" s="6"/>
      <c r="H97" s="6"/>
      <c r="I97" s="6"/>
      <c r="J97" s="6"/>
      <c r="K97" s="6"/>
      <c r="L97" s="4"/>
      <c r="M97" s="28"/>
      <c r="N97" s="28"/>
      <c r="O97" s="28"/>
      <c r="P97" s="28"/>
      <c r="Q97" s="28"/>
      <c r="R97" s="28"/>
      <c r="S97" s="28"/>
      <c r="T97" s="28"/>
      <c r="U97" s="28"/>
      <c r="V97" s="28"/>
    </row>
    <row r="98" spans="1:22" x14ac:dyDescent="0.25">
      <c r="A98" s="28"/>
      <c r="B98" s="28"/>
      <c r="C98" s="28"/>
      <c r="D98" s="28"/>
      <c r="E98" s="28"/>
      <c r="F98" s="28"/>
      <c r="G98" s="28"/>
      <c r="H98" s="28"/>
      <c r="I98" s="28"/>
      <c r="J98" s="28"/>
      <c r="K98" s="28"/>
      <c r="L98" s="28"/>
      <c r="M98" s="28"/>
      <c r="N98" s="28"/>
      <c r="O98" s="28"/>
      <c r="P98" s="28"/>
      <c r="Q98" s="28"/>
      <c r="R98" s="28"/>
      <c r="S98" s="28"/>
      <c r="T98" s="28"/>
      <c r="U98" s="28"/>
      <c r="V98" s="28"/>
    </row>
    <row r="99" spans="1:22" x14ac:dyDescent="0.25">
      <c r="A99" s="28"/>
      <c r="B99" s="28"/>
      <c r="C99" s="28"/>
      <c r="D99" s="28"/>
      <c r="E99" s="28"/>
      <c r="F99" s="28"/>
      <c r="G99" s="28"/>
      <c r="H99" s="28"/>
      <c r="I99" s="28"/>
      <c r="J99" s="28"/>
      <c r="K99" s="28"/>
      <c r="L99" s="28"/>
      <c r="M99" s="28"/>
      <c r="N99" s="28"/>
      <c r="O99" s="28"/>
      <c r="P99" s="28"/>
      <c r="Q99" s="28"/>
      <c r="R99" s="28"/>
      <c r="S99" s="28"/>
      <c r="T99" s="28"/>
      <c r="U99" s="28"/>
      <c r="V99" s="28"/>
    </row>
    <row r="100" spans="1:22"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row>
    <row r="101" spans="1:22"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row>
    <row r="102" spans="1:22"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row>
    <row r="103" spans="1:22"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row>
    <row r="104" spans="1:22"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row>
    <row r="105" spans="1:22"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row>
    <row r="106" spans="1:22"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row>
    <row r="107" spans="1:22"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row>
    <row r="108" spans="1:22"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row>
    <row r="109" spans="1:22"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row>
    <row r="110" spans="1:22"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row>
    <row r="111" spans="1:22"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row>
    <row r="112" spans="1:22"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row>
    <row r="113" spans="1:22"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row>
    <row r="114" spans="1:22"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row>
    <row r="115" spans="1:22"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row>
    <row r="116" spans="1:22"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row>
    <row r="117" spans="1:22"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row>
    <row r="118" spans="1:22"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row>
    <row r="119" spans="1:22"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row>
    <row r="120" spans="1:22"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row>
    <row r="121" spans="1:22"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row>
    <row r="122" spans="1:22"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row>
    <row r="123" spans="1:22"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row>
    <row r="124" spans="1:22"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row>
    <row r="125" spans="1:22"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row>
    <row r="126" spans="1:22"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row>
    <row r="127" spans="1:22"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row>
    <row r="128" spans="1:22"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row>
    <row r="129" spans="1:22"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row>
    <row r="130" spans="1:22"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row>
    <row r="131" spans="1:22"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row>
    <row r="132" spans="1:22"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row>
    <row r="133" spans="1:22"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row>
    <row r="134" spans="1:22"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row>
    <row r="135" spans="1:22"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row>
    <row r="136" spans="1:22"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row>
    <row r="137" spans="1:22"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row>
    <row r="138" spans="1:22"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row>
    <row r="139" spans="1:22"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row>
    <row r="140" spans="1:22"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row>
    <row r="141" spans="1:22"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row>
    <row r="142" spans="1:22"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row>
    <row r="143" spans="1:22"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row>
    <row r="144" spans="1:22"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row>
    <row r="145" spans="1:22"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row>
    <row r="146" spans="1:22"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row>
    <row r="147" spans="1:22"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row>
    <row r="148" spans="1:22"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row>
    <row r="149" spans="1:22"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row>
    <row r="150" spans="1:22"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row>
    <row r="151" spans="1:22"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row>
    <row r="152" spans="1:22"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row>
    <row r="153" spans="1:22"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row>
    <row r="154" spans="1:22"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row>
    <row r="155" spans="1:22"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row>
    <row r="156" spans="1:22"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row>
    <row r="157" spans="1:22"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row>
    <row r="158" spans="1:22"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row>
    <row r="159" spans="1:22"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row>
    <row r="160" spans="1:22"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row>
    <row r="161" spans="1:22"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row>
    <row r="162" spans="1:22"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row>
    <row r="163" spans="1:22"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row>
    <row r="164" spans="1:22"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row>
    <row r="165" spans="1:22"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row>
    <row r="166" spans="1:22"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row>
    <row r="167" spans="1:22"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row>
    <row r="168" spans="1:22"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row>
    <row r="169" spans="1:22"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row>
    <row r="170" spans="1:22"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row>
    <row r="171" spans="1:22"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row>
    <row r="172" spans="1:22"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row>
    <row r="173" spans="1:22"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row>
    <row r="174" spans="1:22"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row>
    <row r="175" spans="1:22"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row>
    <row r="176" spans="1:22"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row>
    <row r="177" spans="1:22"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row>
    <row r="178" spans="1:22"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row>
    <row r="179" spans="1:22"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row>
    <row r="180" spans="1:22"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row>
    <row r="181" spans="1:22"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row>
    <row r="182" spans="1:22"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row>
    <row r="183" spans="1:22"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row>
    <row r="184" spans="1:22"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row>
    <row r="185" spans="1:22"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row>
    <row r="186" spans="1:22"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row>
    <row r="187" spans="1:22"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row>
    <row r="188" spans="1:22"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row>
    <row r="189" spans="1:22"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row>
    <row r="190" spans="1:22"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row>
    <row r="191" spans="1:22"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row>
    <row r="192" spans="1:22"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row>
    <row r="193" spans="1:22"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row>
    <row r="194" spans="1:22"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row>
    <row r="195" spans="1:22"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row>
    <row r="196" spans="1:22"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row>
    <row r="197" spans="1:22"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row>
    <row r="198" spans="1:22"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row>
    <row r="199" spans="1:22"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row>
    <row r="200" spans="1:22"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row>
    <row r="201" spans="1:22"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row>
    <row r="202" spans="1:22"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row>
    <row r="203" spans="1:22"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row>
    <row r="204" spans="1:22"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row>
    <row r="205" spans="1:22"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row>
    <row r="206" spans="1:22"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row>
    <row r="207" spans="1:22"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row>
    <row r="208" spans="1:22"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row>
    <row r="209" spans="1:22"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row>
    <row r="210" spans="1:22"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row>
    <row r="211" spans="1:22"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row>
    <row r="212" spans="1:22"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row>
    <row r="213" spans="1:22"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row>
    <row r="214" spans="1:22"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row>
    <row r="215" spans="1:22"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row>
    <row r="216" spans="1:22"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row>
    <row r="217" spans="1:22"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row>
    <row r="218" spans="1:22"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row>
    <row r="219" spans="1:22"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row>
    <row r="220" spans="1:22"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row>
    <row r="221" spans="1:22"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row>
    <row r="222" spans="1:22"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row>
    <row r="223" spans="1:22"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row>
    <row r="224" spans="1:22"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row>
    <row r="225" spans="1:22"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row>
    <row r="226" spans="1:22"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row>
    <row r="227" spans="1:22"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row>
    <row r="228" spans="1:22"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row>
    <row r="229" spans="1:22"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row>
    <row r="230" spans="1:22"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row>
  </sheetData>
  <sheetProtection password="E831" sheet="1" objects="1" scenarios="1"/>
  <mergeCells count="2">
    <mergeCell ref="B2:L2"/>
    <mergeCell ref="B3:L3"/>
  </mergeCells>
  <pageMargins left="0.7" right="0.7" top="0.75" bottom="0.7" header="0.3" footer="0.3"/>
  <pageSetup scale="89" fitToHeight="0" orientation="portrait" r:id="rId1"/>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2"/>
  <sheetViews>
    <sheetView zoomScaleNormal="100" workbookViewId="0"/>
  </sheetViews>
  <sheetFormatPr defaultRowHeight="15" x14ac:dyDescent="0.25"/>
  <cols>
    <col min="1" max="1" width="2.5703125" customWidth="1"/>
    <col min="2" max="2" width="2" customWidth="1"/>
    <col min="3" max="3" width="9.28515625" customWidth="1"/>
    <col min="4" max="4" width="9" customWidth="1"/>
    <col min="5" max="5" width="8.28515625" customWidth="1"/>
    <col min="6" max="6" width="12.140625" customWidth="1"/>
    <col min="7" max="7" width="2" customWidth="1"/>
    <col min="8" max="10" width="9.85546875" customWidth="1"/>
    <col min="11" max="12" width="9.42578125" customWidth="1"/>
    <col min="13" max="13" width="10.85546875" bestFit="1" customWidth="1"/>
    <col min="15" max="15" width="2.5703125" customWidth="1"/>
    <col min="16" max="16" width="7.5703125" customWidth="1"/>
    <col min="17" max="17" width="23" customWidth="1"/>
    <col min="18" max="18" width="11.28515625" customWidth="1"/>
    <col min="19" max="19" width="10.42578125" customWidth="1"/>
  </cols>
  <sheetData>
    <row r="1" spans="1:29" ht="11.25" customHeight="1" x14ac:dyDescent="0.2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row>
    <row r="2" spans="1:29" ht="7.5" customHeight="1" x14ac:dyDescent="0.25">
      <c r="A2" s="28"/>
      <c r="B2" s="68"/>
      <c r="C2" s="69"/>
      <c r="D2" s="69"/>
      <c r="E2" s="69"/>
      <c r="F2" s="69"/>
      <c r="G2" s="69"/>
      <c r="H2" s="69"/>
      <c r="I2" s="69"/>
      <c r="J2" s="69"/>
      <c r="K2" s="69"/>
      <c r="L2" s="69"/>
      <c r="M2" s="69"/>
      <c r="N2" s="69"/>
      <c r="O2" s="70"/>
      <c r="P2" s="28"/>
      <c r="Q2" s="28"/>
      <c r="R2" s="28"/>
      <c r="S2" s="28"/>
      <c r="T2" s="28"/>
      <c r="U2" s="28"/>
      <c r="V2" s="28"/>
      <c r="W2" s="28"/>
      <c r="X2" s="28"/>
      <c r="Y2" s="28"/>
      <c r="Z2" s="28"/>
      <c r="AA2" s="28"/>
      <c r="AB2" s="28"/>
      <c r="AC2" s="28"/>
    </row>
    <row r="3" spans="1:29" ht="18.75" x14ac:dyDescent="0.3">
      <c r="A3" s="28"/>
      <c r="B3" s="71"/>
      <c r="C3" s="221" t="s">
        <v>0</v>
      </c>
      <c r="D3" s="221"/>
      <c r="E3" s="221"/>
      <c r="F3" s="221"/>
      <c r="G3" s="221"/>
      <c r="H3" s="221"/>
      <c r="I3" s="221"/>
      <c r="J3" s="221"/>
      <c r="K3" s="221"/>
      <c r="L3" s="221"/>
      <c r="M3" s="221"/>
      <c r="N3" s="221"/>
      <c r="O3" s="72"/>
      <c r="P3" s="28"/>
      <c r="Q3" s="28"/>
      <c r="R3" s="28"/>
      <c r="S3" s="28"/>
      <c r="T3" s="28"/>
      <c r="U3" s="28"/>
      <c r="V3" s="28"/>
      <c r="W3" s="28"/>
      <c r="X3" s="28"/>
      <c r="Y3" s="28"/>
      <c r="Z3" s="28"/>
      <c r="AA3" s="28"/>
      <c r="AB3" s="28"/>
      <c r="AC3" s="28"/>
    </row>
    <row r="4" spans="1:29" ht="21" x14ac:dyDescent="0.35">
      <c r="A4" s="28"/>
      <c r="B4" s="71"/>
      <c r="C4" s="222" t="s">
        <v>37</v>
      </c>
      <c r="D4" s="222"/>
      <c r="E4" s="222"/>
      <c r="F4" s="222"/>
      <c r="G4" s="222"/>
      <c r="H4" s="222"/>
      <c r="I4" s="222"/>
      <c r="J4" s="222"/>
      <c r="K4" s="222"/>
      <c r="L4" s="222"/>
      <c r="M4" s="222"/>
      <c r="N4" s="222"/>
      <c r="O4" s="73"/>
      <c r="P4" s="28"/>
      <c r="Q4" s="28"/>
      <c r="R4" s="28"/>
      <c r="S4" s="28"/>
      <c r="T4" s="28"/>
      <c r="U4" s="28"/>
      <c r="V4" s="28"/>
      <c r="W4" s="28"/>
      <c r="X4" s="28"/>
      <c r="Y4" s="28"/>
      <c r="Z4" s="28"/>
      <c r="AA4" s="28"/>
      <c r="AB4" s="28"/>
      <c r="AC4" s="28"/>
    </row>
    <row r="5" spans="1:29" x14ac:dyDescent="0.25">
      <c r="A5" s="28"/>
      <c r="B5" s="71"/>
      <c r="C5" s="74"/>
      <c r="D5" s="74"/>
      <c r="E5" s="74"/>
      <c r="F5" s="74"/>
      <c r="G5" s="74"/>
      <c r="H5" s="186" t="s">
        <v>87</v>
      </c>
      <c r="I5" s="74"/>
      <c r="J5" s="75">
        <v>42118</v>
      </c>
      <c r="K5" s="74"/>
      <c r="L5" s="74"/>
      <c r="M5" s="74"/>
      <c r="N5" s="74"/>
      <c r="O5" s="76"/>
      <c r="P5" s="28"/>
      <c r="Q5" s="28"/>
      <c r="R5" s="29" t="s">
        <v>42</v>
      </c>
      <c r="S5" s="29" t="s">
        <v>43</v>
      </c>
      <c r="T5" s="28" t="s">
        <v>49</v>
      </c>
      <c r="U5" s="28"/>
      <c r="V5" s="28"/>
      <c r="W5" s="28"/>
      <c r="X5" s="28"/>
      <c r="Y5" s="28"/>
      <c r="Z5" s="28"/>
      <c r="AA5" s="28"/>
      <c r="AB5" s="28"/>
      <c r="AC5" s="28"/>
    </row>
    <row r="6" spans="1:29" ht="18.75" x14ac:dyDescent="0.3">
      <c r="A6" s="28"/>
      <c r="B6" s="71"/>
      <c r="C6" s="74"/>
      <c r="D6" s="74"/>
      <c r="E6" s="74"/>
      <c r="F6" s="74"/>
      <c r="G6" s="74"/>
      <c r="H6" s="74"/>
      <c r="I6" s="189"/>
      <c r="J6" s="74"/>
      <c r="K6" s="74"/>
      <c r="L6" s="74"/>
      <c r="M6" s="74"/>
      <c r="N6" s="74"/>
      <c r="O6" s="76"/>
      <c r="P6" s="28"/>
      <c r="Q6" s="28"/>
      <c r="R6" s="30">
        <f>COUNTIF($Q$7:$Q$55,"OK")</f>
        <v>31</v>
      </c>
      <c r="S6" s="30">
        <v>39</v>
      </c>
      <c r="T6" s="28" t="b">
        <f>(R6=S6)</f>
        <v>0</v>
      </c>
      <c r="U6" s="28"/>
      <c r="V6" s="28"/>
      <c r="W6" s="28"/>
      <c r="X6" s="28"/>
      <c r="Y6" s="28"/>
      <c r="Z6" s="28"/>
      <c r="AA6" s="28"/>
      <c r="AB6" s="28"/>
      <c r="AC6" s="28"/>
    </row>
    <row r="7" spans="1:29" x14ac:dyDescent="0.25">
      <c r="A7" s="28"/>
      <c r="B7" s="71"/>
      <c r="C7" s="74" t="s">
        <v>1</v>
      </c>
      <c r="D7" s="74"/>
      <c r="E7" s="90"/>
      <c r="F7" s="233"/>
      <c r="G7" s="234"/>
      <c r="H7" s="234"/>
      <c r="I7" s="234"/>
      <c r="J7" s="235"/>
      <c r="K7" s="74"/>
      <c r="L7" s="74"/>
      <c r="M7" s="74"/>
      <c r="N7" s="74"/>
      <c r="O7" s="76"/>
      <c r="P7" s="28"/>
      <c r="Q7" s="31" t="str">
        <f>IF(Applicant_Name="","&lt;&lt;&lt;Required Information","OK")</f>
        <v>&lt;&lt;&lt;Required Information</v>
      </c>
      <c r="R7" s="28"/>
      <c r="S7" s="28"/>
      <c r="T7" s="28"/>
      <c r="U7" s="28"/>
      <c r="V7" s="28"/>
      <c r="W7" s="28"/>
      <c r="X7" s="28"/>
      <c r="Y7" s="28"/>
      <c r="Z7" s="28"/>
      <c r="AA7" s="28"/>
      <c r="AB7" s="28"/>
      <c r="AC7" s="28"/>
    </row>
    <row r="8" spans="1:29" x14ac:dyDescent="0.25">
      <c r="A8" s="28"/>
      <c r="B8" s="71"/>
      <c r="C8" s="74" t="s">
        <v>2</v>
      </c>
      <c r="D8" s="74"/>
      <c r="E8" s="90"/>
      <c r="F8" s="233"/>
      <c r="G8" s="234"/>
      <c r="H8" s="234"/>
      <c r="I8" s="234"/>
      <c r="J8" s="235"/>
      <c r="K8" s="74"/>
      <c r="L8" s="74"/>
      <c r="M8" s="74"/>
      <c r="N8" s="74"/>
      <c r="O8" s="76"/>
      <c r="P8" s="28"/>
      <c r="Q8" s="31" t="str">
        <f>IF(Project_Name="","&lt;&lt;&lt;Required Information","OK")</f>
        <v>&lt;&lt;&lt;Required Information</v>
      </c>
      <c r="R8" s="28"/>
      <c r="S8" s="28"/>
      <c r="T8" s="28"/>
      <c r="U8" s="28"/>
      <c r="V8" s="28"/>
      <c r="W8" s="28"/>
      <c r="X8" s="28"/>
      <c r="Y8" s="28"/>
      <c r="Z8" s="28"/>
      <c r="AA8" s="28"/>
      <c r="AB8" s="28"/>
      <c r="AC8" s="28"/>
    </row>
    <row r="9" spans="1:29" ht="15.75" thickBot="1" x14ac:dyDescent="0.3">
      <c r="A9" s="28"/>
      <c r="B9" s="71"/>
      <c r="C9" s="74" t="s">
        <v>10</v>
      </c>
      <c r="D9" s="74"/>
      <c r="E9" s="90"/>
      <c r="F9" s="115"/>
      <c r="G9" s="77" t="s">
        <v>11</v>
      </c>
      <c r="H9" s="77"/>
      <c r="I9" s="74"/>
      <c r="J9" s="78"/>
      <c r="K9" s="74"/>
      <c r="L9" s="74"/>
      <c r="M9" s="74"/>
      <c r="N9" s="74"/>
      <c r="O9" s="76"/>
      <c r="P9" s="28"/>
      <c r="Q9" s="31" t="str">
        <f>IF(Installed_Capacity&lt;=0,"&lt;&lt;&lt;Required Information","OK")</f>
        <v>&lt;&lt;&lt;Required Information</v>
      </c>
      <c r="R9" s="28" t="s">
        <v>65</v>
      </c>
      <c r="S9" s="37">
        <f>IF(Installed_Capacity&gt;Validation!$H$28,4,IF(Installed_Capacity&gt;Validation!$G$28,3,IF(Installed_Capacity&gt;Validation!$F$28,2,IF(Installed_Capacity&lt;Validation!$F$28,0,1))))</f>
        <v>0</v>
      </c>
      <c r="T9" s="113" t="e">
        <f>INDEX(ICAP_Range_Tops,1,$S$9)</f>
        <v>#VALUE!</v>
      </c>
      <c r="U9" s="28" t="s">
        <v>56</v>
      </c>
      <c r="V9" s="28" t="str">
        <f>IF($S$9=0,"na",IF($S$9&gt;2,"Greater than "&amp;TEXT(Validation!$G$28,"0")&amp;" MW","Up to "&amp;TEXT(Validation!$G$28,"0")&amp;" MW"))</f>
        <v>na</v>
      </c>
      <c r="W9" s="28"/>
      <c r="X9" s="28"/>
      <c r="Y9" s="28"/>
      <c r="Z9" s="28"/>
      <c r="AA9" s="28"/>
      <c r="AB9" s="28"/>
      <c r="AC9" s="28"/>
    </row>
    <row r="10" spans="1:29" x14ac:dyDescent="0.25">
      <c r="A10" s="28"/>
      <c r="B10" s="71"/>
      <c r="C10" s="74" t="s">
        <v>80</v>
      </c>
      <c r="D10" s="74"/>
      <c r="E10" s="90"/>
      <c r="F10" s="237"/>
      <c r="G10" s="238"/>
      <c r="H10" s="239"/>
      <c r="I10" s="79" t="s">
        <v>39</v>
      </c>
      <c r="J10" s="74"/>
      <c r="K10" s="10" t="str">
        <f>IF(NOT($T$6),"MISSING INFORMATION","ALL INFORMATION PROVIDED")</f>
        <v>MISSING INFORMATION</v>
      </c>
      <c r="L10" s="11"/>
      <c r="M10" s="11"/>
      <c r="N10" s="12"/>
      <c r="O10" s="76"/>
      <c r="P10" s="28"/>
      <c r="Q10" s="31" t="str">
        <f>IF(Lease_Site="","&lt;&lt;&lt;Required Information","OK")</f>
        <v>&lt;&lt;&lt;Required Information</v>
      </c>
      <c r="R10" s="28" t="s">
        <v>64</v>
      </c>
      <c r="S10" s="37" t="e">
        <f>MATCH(IC_Point,IC_Point_List,0)</f>
        <v>#N/A</v>
      </c>
      <c r="T10" s="28"/>
      <c r="U10" s="28"/>
      <c r="V10" s="28"/>
      <c r="W10" s="28"/>
      <c r="X10" s="28"/>
      <c r="Y10" s="28"/>
      <c r="Z10" s="28"/>
      <c r="AA10" s="28"/>
      <c r="AB10" s="28"/>
      <c r="AC10" s="28"/>
    </row>
    <row r="11" spans="1:29" x14ac:dyDescent="0.25">
      <c r="A11" s="28"/>
      <c r="B11" s="71"/>
      <c r="C11" s="74"/>
      <c r="D11" s="74"/>
      <c r="E11" s="90"/>
      <c r="F11" s="74"/>
      <c r="G11" s="74"/>
      <c r="H11" s="74"/>
      <c r="I11" s="74"/>
      <c r="J11" s="74"/>
      <c r="K11" s="13" t="str">
        <f>IF(NOT($T$6),"",IF(J70&gt;OREC_Price_Cap,"Levelized OREC price exceeds cap of "&amp;TEXT(OREC_Price_Cap,"$0"),"Levelized OREC price below cap"))</f>
        <v/>
      </c>
      <c r="L11" s="14"/>
      <c r="M11" s="14"/>
      <c r="N11" s="15"/>
      <c r="O11" s="76"/>
      <c r="P11" s="28"/>
      <c r="Q11" s="31"/>
      <c r="R11" s="28"/>
      <c r="S11" s="28"/>
      <c r="T11" s="28"/>
      <c r="U11" s="28"/>
      <c r="V11" s="28"/>
      <c r="W11" s="28"/>
      <c r="X11" s="28"/>
      <c r="Y11" s="28"/>
      <c r="Z11" s="28"/>
      <c r="AA11" s="28"/>
      <c r="AB11" s="28"/>
      <c r="AC11" s="28"/>
    </row>
    <row r="12" spans="1:29" ht="15.75" thickBot="1" x14ac:dyDescent="0.3">
      <c r="A12" s="28"/>
      <c r="B12" s="71"/>
      <c r="C12" s="74" t="s">
        <v>3</v>
      </c>
      <c r="D12" s="74"/>
      <c r="E12" s="90"/>
      <c r="F12" s="240"/>
      <c r="G12" s="241"/>
      <c r="H12" s="242"/>
      <c r="I12" s="79" t="s">
        <v>39</v>
      </c>
      <c r="J12" s="74"/>
      <c r="K12" s="16" t="str">
        <f>IF(NOT($T$6),"",IF(MAX($J$61:$J$65)&gt;OREC_Price_Cap,"Lev'd OREC price with delay exceeds cap","Lev'd OREC price with delay below cap"))</f>
        <v/>
      </c>
      <c r="L12" s="17"/>
      <c r="M12" s="17"/>
      <c r="N12" s="18"/>
      <c r="O12" s="76"/>
      <c r="P12" s="28"/>
      <c r="Q12" s="31" t="str">
        <f>IF(CO_Date&lt;=0,"&lt;&lt;&lt;Required Information","OK")</f>
        <v>&lt;&lt;&lt;Required Information</v>
      </c>
      <c r="R12" s="28"/>
      <c r="S12" s="192">
        <f>YEAR(F12)+(MONTH(F12)-1)/12</f>
        <v>1900</v>
      </c>
      <c r="T12" s="28"/>
      <c r="U12" s="28"/>
      <c r="V12" s="28"/>
      <c r="W12" s="28"/>
      <c r="X12" s="28"/>
      <c r="Y12" s="28"/>
      <c r="Z12" s="28"/>
      <c r="AA12" s="28"/>
      <c r="AB12" s="28"/>
      <c r="AC12" s="28"/>
    </row>
    <row r="13" spans="1:29" x14ac:dyDescent="0.25">
      <c r="A13" s="28"/>
      <c r="B13" s="71"/>
      <c r="C13" s="74"/>
      <c r="D13" s="74"/>
      <c r="E13" s="74"/>
      <c r="F13" s="74"/>
      <c r="G13" s="74"/>
      <c r="H13" s="74"/>
      <c r="I13" s="74"/>
      <c r="J13" s="74"/>
      <c r="K13" s="74"/>
      <c r="L13" s="74"/>
      <c r="M13" s="74"/>
      <c r="N13" s="74"/>
      <c r="O13" s="76"/>
      <c r="P13" s="28"/>
      <c r="Q13" s="32"/>
      <c r="R13" s="28"/>
      <c r="S13" s="28"/>
      <c r="T13" s="28"/>
      <c r="U13" s="28"/>
      <c r="V13" s="28"/>
      <c r="W13" s="28"/>
      <c r="X13" s="28"/>
      <c r="Y13" s="28"/>
      <c r="Z13" s="28"/>
      <c r="AA13" s="28"/>
      <c r="AB13" s="28"/>
      <c r="AC13" s="28"/>
    </row>
    <row r="14" spans="1:29" x14ac:dyDescent="0.25">
      <c r="A14" s="28"/>
      <c r="B14" s="71"/>
      <c r="C14" s="74" t="s">
        <v>4</v>
      </c>
      <c r="D14" s="74"/>
      <c r="E14" s="90"/>
      <c r="F14" s="233"/>
      <c r="G14" s="234"/>
      <c r="H14" s="234"/>
      <c r="I14" s="234"/>
      <c r="J14" s="235"/>
      <c r="K14" s="74"/>
      <c r="L14" s="74"/>
      <c r="M14" s="74"/>
      <c r="N14" s="74"/>
      <c r="O14" s="76"/>
      <c r="P14" s="28"/>
      <c r="Q14" s="31" t="str">
        <f>IF(Price_Prpsl_Name="","&lt;&lt;&lt;Required Information","OK")</f>
        <v>&lt;&lt;&lt;Required Information</v>
      </c>
      <c r="R14" s="28"/>
      <c r="S14" s="28"/>
      <c r="T14" s="28"/>
      <c r="U14" s="28"/>
      <c r="V14" s="28"/>
      <c r="W14" s="28"/>
      <c r="X14" s="28"/>
      <c r="Y14" s="28"/>
      <c r="Z14" s="28"/>
      <c r="AA14" s="28"/>
      <c r="AB14" s="28"/>
      <c r="AC14" s="28"/>
    </row>
    <row r="15" spans="1:29" x14ac:dyDescent="0.25">
      <c r="A15" s="28"/>
      <c r="B15" s="71"/>
      <c r="C15" s="74" t="s">
        <v>7</v>
      </c>
      <c r="D15" s="74"/>
      <c r="E15" s="90"/>
      <c r="F15" s="237"/>
      <c r="G15" s="238"/>
      <c r="H15" s="239"/>
      <c r="I15" s="79" t="s">
        <v>39</v>
      </c>
      <c r="J15" s="74"/>
      <c r="K15" s="74"/>
      <c r="L15" s="74"/>
      <c r="M15" s="74"/>
      <c r="N15" s="74"/>
      <c r="O15" s="76"/>
      <c r="P15" s="28"/>
      <c r="Q15" s="31" t="str">
        <f>IF(Price_Prpsl_Type="","&lt;&lt;&lt;Required Information","OK")</f>
        <v>&lt;&lt;&lt;Required Information</v>
      </c>
      <c r="R15" s="33"/>
      <c r="S15" s="28"/>
      <c r="T15" s="28"/>
      <c r="U15" s="28"/>
      <c r="V15" s="28"/>
      <c r="W15" s="28"/>
      <c r="X15" s="28"/>
      <c r="Y15" s="28"/>
      <c r="Z15" s="28"/>
      <c r="AA15" s="28"/>
      <c r="AB15" s="28"/>
      <c r="AC15" s="28"/>
    </row>
    <row r="16" spans="1:29" x14ac:dyDescent="0.25">
      <c r="A16" s="28"/>
      <c r="B16" s="71"/>
      <c r="C16" s="74" t="s">
        <v>51</v>
      </c>
      <c r="D16" s="74"/>
      <c r="E16" s="90"/>
      <c r="F16" s="116"/>
      <c r="G16" s="80" t="s">
        <v>50</v>
      </c>
      <c r="H16" s="80"/>
      <c r="I16" s="79"/>
      <c r="J16" s="74"/>
      <c r="K16" s="74"/>
      <c r="L16" s="74"/>
      <c r="M16" s="74"/>
      <c r="N16" s="74"/>
      <c r="O16" s="76"/>
      <c r="P16" s="28"/>
      <c r="Q16" s="31" t="str">
        <f>IF(OREC_Term="","&lt;&lt;&lt;Required Information","OK")</f>
        <v>&lt;&lt;&lt;Required Information</v>
      </c>
      <c r="R16" s="33"/>
      <c r="S16" s="28"/>
      <c r="T16" s="28"/>
      <c r="U16" s="28"/>
      <c r="V16" s="28"/>
      <c r="W16" s="28"/>
      <c r="X16" s="28"/>
      <c r="Y16" s="28"/>
      <c r="Z16" s="28"/>
      <c r="AA16" s="28"/>
      <c r="AB16" s="28"/>
      <c r="AC16" s="28"/>
    </row>
    <row r="17" spans="1:29" x14ac:dyDescent="0.25">
      <c r="A17" s="28"/>
      <c r="B17" s="71"/>
      <c r="C17" s="74" t="s">
        <v>52</v>
      </c>
      <c r="D17" s="74"/>
      <c r="E17" s="74"/>
      <c r="F17" s="74"/>
      <c r="G17" s="74"/>
      <c r="H17" s="74"/>
      <c r="I17" s="74"/>
      <c r="J17" s="74"/>
      <c r="K17" s="74"/>
      <c r="L17" s="74"/>
      <c r="M17" s="74"/>
      <c r="N17" s="74"/>
      <c r="O17" s="76"/>
      <c r="P17" s="28"/>
      <c r="Q17" s="32"/>
      <c r="R17" s="33"/>
      <c r="S17" s="28"/>
      <c r="T17" s="28" t="s">
        <v>93</v>
      </c>
      <c r="U17" s="28"/>
      <c r="V17" s="28"/>
      <c r="W17" s="28"/>
      <c r="X17" s="28"/>
      <c r="Y17" s="28"/>
      <c r="Z17" s="28"/>
      <c r="AA17" s="28"/>
      <c r="AB17" s="28"/>
      <c r="AC17" s="28"/>
    </row>
    <row r="18" spans="1:29" x14ac:dyDescent="0.25">
      <c r="A18" s="28"/>
      <c r="B18" s="71"/>
      <c r="C18" s="81" t="s">
        <v>5</v>
      </c>
      <c r="D18" s="74"/>
      <c r="E18" s="90"/>
      <c r="F18" s="117" t="str">
        <f>V9</f>
        <v>na</v>
      </c>
      <c r="G18" s="117"/>
      <c r="H18" s="79"/>
      <c r="I18" s="79"/>
      <c r="J18" s="74"/>
      <c r="K18" s="74"/>
      <c r="L18" s="74"/>
      <c r="M18" s="74"/>
      <c r="N18" s="74"/>
      <c r="O18" s="76"/>
      <c r="P18" s="28"/>
      <c r="Q18" s="31"/>
      <c r="R18" s="33"/>
      <c r="S18" s="28"/>
      <c r="T18" s="212" t="e">
        <f>INDEX(Upgrade_Cost_Table,2,$S$9)</f>
        <v>#VALUE!</v>
      </c>
      <c r="U18" s="211">
        <f>(1+Inflation_Rate)^($S$12-Upgrade_Base_Year)*(1+Validation!$C$30)^($S$12-Upgrade_Base_Year)</f>
        <v>2.3532850935656543E-2</v>
      </c>
      <c r="V18" s="212" t="e">
        <f>T18*U18</f>
        <v>#VALUE!</v>
      </c>
      <c r="W18" s="28"/>
      <c r="X18" s="28"/>
      <c r="Y18" s="28"/>
      <c r="Z18" s="28"/>
      <c r="AA18" s="28"/>
      <c r="AB18" s="28"/>
      <c r="AC18" s="28"/>
    </row>
    <row r="19" spans="1:29" x14ac:dyDescent="0.25">
      <c r="A19" s="28"/>
      <c r="B19" s="71"/>
      <c r="C19" s="81" t="s">
        <v>6</v>
      </c>
      <c r="D19" s="74"/>
      <c r="E19" s="90"/>
      <c r="F19" s="210" t="str">
        <f>IF(AND(NOT(Installed_Capacity=""),Price_Prpsl_Type=Validation!$H$23),$V$20,"na  ")</f>
        <v xml:space="preserve">na  </v>
      </c>
      <c r="G19" s="117"/>
      <c r="H19" s="190" t="str">
        <f>"MM ("&amp;TEXT($S$12,"0000.00")&amp;" $ Capital Cost Based on Case Selection)"</f>
        <v>MM (1900.00 $ Capital Cost Based on Case Selection)</v>
      </c>
      <c r="I19" s="74"/>
      <c r="J19" s="74"/>
      <c r="K19" s="74"/>
      <c r="L19" s="74"/>
      <c r="M19" s="74"/>
      <c r="N19" s="74"/>
      <c r="O19" s="76"/>
      <c r="P19" s="28"/>
      <c r="Q19" s="32"/>
      <c r="R19" s="34" t="s">
        <v>67</v>
      </c>
      <c r="S19" s="28"/>
      <c r="T19" s="212" t="e">
        <f>INDEX(Upgrade_Cost_Table,3,$S$9)</f>
        <v>#VALUE!</v>
      </c>
      <c r="U19" s="211">
        <f>(1+Inflation_Rate)^($S$12-Upgrade_Base_Year)*Validation!$C$31</f>
        <v>0.12234341918051203</v>
      </c>
      <c r="V19" s="212" t="e">
        <f>T19*U19</f>
        <v>#VALUE!</v>
      </c>
      <c r="W19" s="28"/>
      <c r="X19" s="28"/>
      <c r="Y19" s="28"/>
      <c r="Z19" s="28"/>
      <c r="AA19" s="28"/>
      <c r="AB19" s="28"/>
      <c r="AC19" s="28"/>
    </row>
    <row r="20" spans="1:29" x14ac:dyDescent="0.25">
      <c r="A20" s="28"/>
      <c r="B20" s="71"/>
      <c r="C20" s="81" t="s">
        <v>16</v>
      </c>
      <c r="D20" s="74"/>
      <c r="E20" s="90"/>
      <c r="F20" s="118"/>
      <c r="G20" s="147"/>
      <c r="H20" s="82" t="s">
        <v>17</v>
      </c>
      <c r="I20" s="74"/>
      <c r="J20" s="74"/>
      <c r="K20" s="83" t="str">
        <f>IF(AND(Part_2_Price&gt;0,Price_Prpsl_Type&lt;&gt;Validation!$H$23),"Part 2 Price will be ignored.","")</f>
        <v/>
      </c>
      <c r="L20" s="74"/>
      <c r="M20" s="74"/>
      <c r="N20" s="74"/>
      <c r="O20" s="76"/>
      <c r="P20" s="28"/>
      <c r="Q20" s="31" t="str">
        <f>IF(AND(Part_2_Price&lt;=0,Price_Prpsl_Type=Validation!$H$23),"&lt;&lt;&lt;Required Information","OK")</f>
        <v>OK</v>
      </c>
      <c r="R20" s="35">
        <f>IF(AND(Price_Prpsl_Type=Validation!$H$23,ISNUMBER(Part_2_Price)),ROUND(Part_2_Price,2),0)</f>
        <v>0</v>
      </c>
      <c r="S20" s="28"/>
      <c r="T20" s="213" t="e">
        <f>SUM(T18:T19)</f>
        <v>#VALUE!</v>
      </c>
      <c r="U20" s="28"/>
      <c r="V20" s="213" t="e">
        <f>SUM(V18:V19)</f>
        <v>#VALUE!</v>
      </c>
      <c r="W20" s="28"/>
      <c r="X20" s="28"/>
      <c r="Y20" s="28"/>
      <c r="Z20" s="28"/>
      <c r="AA20" s="28"/>
      <c r="AB20" s="28"/>
      <c r="AC20" s="28"/>
    </row>
    <row r="21" spans="1:29" x14ac:dyDescent="0.25">
      <c r="A21" s="28"/>
      <c r="B21" s="71"/>
      <c r="C21" s="74"/>
      <c r="D21" s="74"/>
      <c r="E21" s="74"/>
      <c r="F21" s="74"/>
      <c r="G21" s="74"/>
      <c r="H21" s="84" t="str">
        <f>IF(AND(Price_Prpsl_Type=Validation!$H$23,ISNUMBER(Base_Upgrade_Cost)),Part_2_Price/Base_Upgrade_Cost,"")</f>
        <v/>
      </c>
      <c r="I21" s="85" t="str">
        <f>IF(Price_Prpsl_Type=Validation!H23,"/ MWh per  $MM of upgrade cost","")</f>
        <v/>
      </c>
      <c r="J21" s="74"/>
      <c r="K21" s="74"/>
      <c r="L21" s="74"/>
      <c r="M21" s="74"/>
      <c r="N21" s="74"/>
      <c r="O21" s="76"/>
      <c r="P21" s="28"/>
      <c r="Q21" s="32"/>
      <c r="R21" s="28"/>
      <c r="S21" s="36"/>
      <c r="T21" s="28"/>
      <c r="U21" s="28"/>
      <c r="V21" s="28"/>
      <c r="W21" s="28"/>
      <c r="X21" s="28"/>
      <c r="Y21" s="28"/>
      <c r="Z21" s="28"/>
      <c r="AA21" s="28"/>
      <c r="AB21" s="28"/>
      <c r="AC21" s="28"/>
    </row>
    <row r="22" spans="1:29" x14ac:dyDescent="0.25">
      <c r="A22" s="28"/>
      <c r="B22" s="71"/>
      <c r="C22" s="74" t="s">
        <v>8</v>
      </c>
      <c r="D22" s="74"/>
      <c r="E22" s="74"/>
      <c r="F22" s="74"/>
      <c r="G22" s="74"/>
      <c r="H22" s="74"/>
      <c r="I22" s="74"/>
      <c r="J22" s="74"/>
      <c r="K22" s="74"/>
      <c r="L22" s="74"/>
      <c r="M22" s="74"/>
      <c r="N22" s="74"/>
      <c r="O22" s="76"/>
      <c r="P22" s="28"/>
      <c r="Q22" s="32"/>
      <c r="R22" s="28"/>
      <c r="S22" s="36"/>
      <c r="T22" s="28"/>
      <c r="U22" s="28"/>
      <c r="V22" s="28"/>
      <c r="W22" s="28"/>
      <c r="X22" s="28"/>
      <c r="Y22" s="28"/>
      <c r="Z22" s="28"/>
      <c r="AA22" s="28"/>
      <c r="AB22" s="28"/>
      <c r="AC22" s="28"/>
    </row>
    <row r="23" spans="1:29" x14ac:dyDescent="0.25">
      <c r="A23" s="28"/>
      <c r="B23" s="71"/>
      <c r="C23" s="126" t="s">
        <v>59</v>
      </c>
      <c r="E23" s="74"/>
      <c r="F23" s="74"/>
      <c r="G23" s="74"/>
      <c r="H23" s="74"/>
      <c r="I23" s="74"/>
      <c r="J23" s="74"/>
      <c r="K23" s="86"/>
      <c r="L23" s="86">
        <f>Real_Discount_Rate</f>
        <v>7.2048372531314797E-3</v>
      </c>
      <c r="M23" s="74"/>
      <c r="N23" s="74"/>
      <c r="O23" s="76"/>
      <c r="P23" s="28"/>
      <c r="Q23" s="32"/>
      <c r="R23" s="28"/>
      <c r="S23" s="36"/>
      <c r="T23" s="28"/>
      <c r="U23" s="28"/>
      <c r="V23" s="28"/>
      <c r="W23" s="28"/>
      <c r="X23" s="28"/>
      <c r="Y23" s="28"/>
      <c r="Z23" s="28"/>
      <c r="AA23" s="28"/>
      <c r="AB23" s="28"/>
      <c r="AC23" s="28"/>
    </row>
    <row r="24" spans="1:29" x14ac:dyDescent="0.25">
      <c r="A24" s="28"/>
      <c r="B24" s="71"/>
      <c r="C24" s="228" t="s">
        <v>27</v>
      </c>
      <c r="D24" s="228" t="s">
        <v>28</v>
      </c>
      <c r="E24" s="228" t="s">
        <v>29</v>
      </c>
      <c r="F24" s="122" t="s">
        <v>19</v>
      </c>
      <c r="G24" s="125"/>
      <c r="H24" s="251" t="s">
        <v>18</v>
      </c>
      <c r="I24" s="252"/>
      <c r="J24" s="253"/>
      <c r="K24" s="228" t="str">
        <f>TEXT(Base_Year,"0000")&amp;" $ Deflator"</f>
        <v>2012 $ Deflator</v>
      </c>
      <c r="L24" s="228" t="s">
        <v>26</v>
      </c>
      <c r="M24" s="227" t="str">
        <f>TEXT(Base_Year,"0000")&amp;" $ OREC Price"</f>
        <v>2012 $ OREC Price</v>
      </c>
      <c r="N24" s="227"/>
      <c r="O24" s="87"/>
      <c r="P24" s="28"/>
      <c r="Q24" s="32"/>
      <c r="R24" s="37" t="s">
        <v>40</v>
      </c>
      <c r="S24" s="185" t="s">
        <v>86</v>
      </c>
      <c r="T24" s="28"/>
      <c r="U24" s="28"/>
      <c r="V24" s="28"/>
      <c r="W24" s="28"/>
      <c r="X24" s="28"/>
      <c r="Y24" s="28"/>
      <c r="Z24" s="28"/>
      <c r="AA24" s="28"/>
      <c r="AB24" s="28"/>
      <c r="AC24" s="28"/>
    </row>
    <row r="25" spans="1:29" x14ac:dyDescent="0.25">
      <c r="A25" s="28"/>
      <c r="B25" s="71"/>
      <c r="C25" s="229"/>
      <c r="D25" s="229"/>
      <c r="E25" s="229"/>
      <c r="F25" s="112" t="s">
        <v>66</v>
      </c>
      <c r="G25" s="125"/>
      <c r="H25" s="88" t="s">
        <v>19</v>
      </c>
      <c r="I25" s="88" t="s">
        <v>20</v>
      </c>
      <c r="J25" s="88" t="s">
        <v>21</v>
      </c>
      <c r="K25" s="229"/>
      <c r="L25" s="229"/>
      <c r="M25" s="88" t="s">
        <v>23</v>
      </c>
      <c r="N25" s="88" t="s">
        <v>22</v>
      </c>
      <c r="O25" s="87"/>
      <c r="P25" s="28"/>
      <c r="Q25" s="32"/>
      <c r="R25" s="38" t="s">
        <v>41</v>
      </c>
      <c r="S25" s="36"/>
      <c r="T25" s="28"/>
      <c r="U25" s="28"/>
      <c r="V25" s="28"/>
      <c r="W25" s="28"/>
      <c r="X25" s="28"/>
      <c r="Y25" s="28"/>
      <c r="Z25" s="28"/>
      <c r="AA25" s="28"/>
      <c r="AB25" s="28"/>
      <c r="AC25" s="28"/>
    </row>
    <row r="26" spans="1:29" x14ac:dyDescent="0.25">
      <c r="A26" s="28"/>
      <c r="B26" s="71"/>
      <c r="C26" s="127">
        <f>YEAR(Earliest_CO_Date)</f>
        <v>2017</v>
      </c>
      <c r="D26" s="130">
        <f t="shared" ref="D26:D55" si="0">IF(CO_Date="",0,$C26-YEAR(CO_Date)+1)</f>
        <v>0</v>
      </c>
      <c r="E26" s="89">
        <f t="shared" ref="E26:E55" si="1">IF(D26&lt;1,0,IF(D26&gt;OREC_Term+1,0,IF(D26=1,13-MONTH(CO_Date),IF(D26=OREC_Term+1,MONTH(CO_Date)-1,12))))</f>
        <v>0</v>
      </c>
      <c r="F26" s="119"/>
      <c r="H26" s="134" t="str">
        <f>IF(AND($R26,ISNUMBER($F26)),ROUND($F26,2),"na  ")</f>
        <v xml:space="preserve">na  </v>
      </c>
      <c r="I26" s="135" t="str">
        <f>IF(AND(Price_Prpsl_Type=Validation!$H$23,$R26),Rounded_Part2_Price,"na  ")</f>
        <v xml:space="preserve">na  </v>
      </c>
      <c r="J26" s="136" t="str">
        <f>IF(AND($T$6,$R26),$H26+IF(Price_Prpsl_Type=Validation!$H$23,I26,0),"na  ")</f>
        <v xml:space="preserve">na  </v>
      </c>
      <c r="K26" s="141">
        <f>IF($C26=YEAR(Earliest_CO_Date),1/Base_to_Early_CO_Factor,K25/(1+IF($C26&gt;InfYr2,Inflation3,IF($C26&gt;InfYr1,Inflation2,Inflation_Rate))))</f>
        <v>0.92233905183545462</v>
      </c>
      <c r="L26" s="142">
        <f t="shared" ref="L26:L55" si="2">1/(1+Real_Discount_Rate)^($C26-Base_Year)</f>
        <v>0.96474155511006288</v>
      </c>
      <c r="M26" s="134">
        <f>IF($J26="na  ", 0,$J26*$K26)</f>
        <v>0</v>
      </c>
      <c r="N26" s="136">
        <f t="shared" ref="N26:N49" si="3">IF($E26=0, 0,$M$69/$F$68)</f>
        <v>0</v>
      </c>
      <c r="O26" s="101"/>
      <c r="P26" s="28"/>
      <c r="Q26" s="31" t="str">
        <f t="shared" ref="Q26:Q55" si="4">IF(AND($F26&lt;=0,$R26),"&lt;&lt;&lt;Required Information","OK")</f>
        <v>OK</v>
      </c>
      <c r="R26" s="28" t="b">
        <f t="shared" ref="R26:R55" si="5">AND($D26&gt;0,$D26&lt;=OREC_Term+5+IF(MONTH(CO_Date)&gt;1,1,0))</f>
        <v>0</v>
      </c>
      <c r="S26" s="36"/>
      <c r="T26" s="28"/>
      <c r="U26" s="28"/>
      <c r="V26" s="28"/>
      <c r="W26" s="28"/>
      <c r="X26" s="28"/>
      <c r="Y26" s="28"/>
      <c r="Z26" s="28"/>
      <c r="AA26" s="28"/>
      <c r="AB26" s="28"/>
      <c r="AC26" s="28"/>
    </row>
    <row r="27" spans="1:29" x14ac:dyDescent="0.25">
      <c r="A27" s="28"/>
      <c r="B27" s="71"/>
      <c r="C27" s="128">
        <f>C26+1</f>
        <v>2018</v>
      </c>
      <c r="D27" s="131">
        <f t="shared" si="0"/>
        <v>0</v>
      </c>
      <c r="E27" s="89">
        <f t="shared" si="1"/>
        <v>0</v>
      </c>
      <c r="F27" s="118"/>
      <c r="H27" s="137" t="str">
        <f t="shared" ref="H27:H55" si="6">IF(AND($R27,ISNUMBER($F27)),ROUND($F27,2),"na  ")</f>
        <v xml:space="preserve">na  </v>
      </c>
      <c r="I27" s="100" t="str">
        <f>IF(AND(Price_Prpsl_Type=Validation!$H$23,$R27),Rounded_Part2_Price,"na  ")</f>
        <v xml:space="preserve">na  </v>
      </c>
      <c r="J27" s="101" t="str">
        <f>IF(AND($T$6,$R27),$H27+IF(Price_Prpsl_Type=Validation!$H$23,I27,0),"na  ")</f>
        <v xml:space="preserve">na  </v>
      </c>
      <c r="K27" s="143">
        <f t="shared" ref="K27:K55" si="7">IF($C27=Upgrade_Base_Year,1/Base_to_Early_CO_Factor,K26/(1+IF($C27&gt;InfYr2,Inflation3,IF($C27&gt;InfYr1,Inflation2,Inflation_Rate))))</f>
        <v>0.9053545995479354</v>
      </c>
      <c r="L27" s="144">
        <f t="shared" si="2"/>
        <v>0.95784047040632236</v>
      </c>
      <c r="M27" s="137">
        <f t="shared" ref="M27:M55" si="8">IF($J27="na  ", 0,$J27*$K27)</f>
        <v>0</v>
      </c>
      <c r="N27" s="101">
        <f t="shared" si="3"/>
        <v>0</v>
      </c>
      <c r="O27" s="101"/>
      <c r="P27" s="28"/>
      <c r="Q27" s="31" t="str">
        <f t="shared" si="4"/>
        <v>OK</v>
      </c>
      <c r="R27" s="28" t="b">
        <f t="shared" si="5"/>
        <v>0</v>
      </c>
      <c r="S27" s="184">
        <f>K26/K27-1</f>
        <v>1.8759999999999888E-2</v>
      </c>
      <c r="T27" s="28"/>
      <c r="U27" s="28"/>
      <c r="V27" s="28"/>
      <c r="W27" s="28"/>
      <c r="X27" s="28"/>
      <c r="Y27" s="28"/>
      <c r="Z27" s="28"/>
      <c r="AA27" s="28"/>
      <c r="AB27" s="28"/>
      <c r="AC27" s="28"/>
    </row>
    <row r="28" spans="1:29" x14ac:dyDescent="0.25">
      <c r="A28" s="28"/>
      <c r="B28" s="71"/>
      <c r="C28" s="128">
        <f t="shared" ref="C28:C55" si="9">C27+1</f>
        <v>2019</v>
      </c>
      <c r="D28" s="131">
        <f t="shared" si="0"/>
        <v>0</v>
      </c>
      <c r="E28" s="89">
        <f t="shared" si="1"/>
        <v>0</v>
      </c>
      <c r="F28" s="118"/>
      <c r="H28" s="137" t="str">
        <f t="shared" si="6"/>
        <v xml:space="preserve">na  </v>
      </c>
      <c r="I28" s="100" t="str">
        <f>IF(AND(Price_Prpsl_Type=Validation!$H$23,$R28),Rounded_Part2_Price,"na  ")</f>
        <v xml:space="preserve">na  </v>
      </c>
      <c r="J28" s="101" t="str">
        <f>IF(AND($T$6,$R28),$H28+IF(Price_Prpsl_Type=Validation!$H$23,I28,0),"na  ")</f>
        <v xml:space="preserve">na  </v>
      </c>
      <c r="K28" s="143">
        <f t="shared" si="7"/>
        <v>0.88868290819028573</v>
      </c>
      <c r="L28" s="144">
        <f t="shared" si="2"/>
        <v>0.95098875122419335</v>
      </c>
      <c r="M28" s="137">
        <f t="shared" si="8"/>
        <v>0</v>
      </c>
      <c r="N28" s="101">
        <f t="shared" si="3"/>
        <v>0</v>
      </c>
      <c r="O28" s="101"/>
      <c r="P28" s="28"/>
      <c r="Q28" s="31" t="str">
        <f t="shared" si="4"/>
        <v>OK</v>
      </c>
      <c r="R28" s="28" t="b">
        <f t="shared" si="5"/>
        <v>0</v>
      </c>
      <c r="S28" s="184">
        <f t="shared" ref="S28:S55" si="10">K27/K28-1</f>
        <v>1.8759999999999888E-2</v>
      </c>
      <c r="T28" s="28"/>
      <c r="U28" s="28"/>
      <c r="V28" s="28"/>
      <c r="W28" s="28"/>
      <c r="X28" s="28"/>
      <c r="Y28" s="28"/>
      <c r="Z28" s="28"/>
      <c r="AA28" s="28"/>
      <c r="AB28" s="28"/>
      <c r="AC28" s="28"/>
    </row>
    <row r="29" spans="1:29" x14ac:dyDescent="0.25">
      <c r="A29" s="28"/>
      <c r="B29" s="71"/>
      <c r="C29" s="128">
        <f t="shared" si="9"/>
        <v>2020</v>
      </c>
      <c r="D29" s="131">
        <f t="shared" si="0"/>
        <v>0</v>
      </c>
      <c r="E29" s="89">
        <f t="shared" si="1"/>
        <v>0</v>
      </c>
      <c r="F29" s="118"/>
      <c r="H29" s="137" t="str">
        <f t="shared" si="6"/>
        <v xml:space="preserve">na  </v>
      </c>
      <c r="I29" s="100" t="str">
        <f>IF(AND(Price_Prpsl_Type=Validation!$H$23,$R29),Rounded_Part2_Price,"na  ")</f>
        <v xml:space="preserve">na  </v>
      </c>
      <c r="J29" s="101" t="str">
        <f>IF(AND($T$6,$R29),$H29+IF(Price_Prpsl_Type=Validation!$H$23,I29,0),"na  ")</f>
        <v xml:space="preserve">na  </v>
      </c>
      <c r="K29" s="143">
        <f t="shared" si="7"/>
        <v>0.87231821841286061</v>
      </c>
      <c r="L29" s="144">
        <f t="shared" si="2"/>
        <v>0.94418604443734433</v>
      </c>
      <c r="M29" s="137">
        <f t="shared" si="8"/>
        <v>0</v>
      </c>
      <c r="N29" s="101">
        <f t="shared" si="3"/>
        <v>0</v>
      </c>
      <c r="O29" s="101"/>
      <c r="P29" s="28"/>
      <c r="Q29" s="31" t="str">
        <f t="shared" si="4"/>
        <v>OK</v>
      </c>
      <c r="R29" s="28" t="b">
        <f t="shared" si="5"/>
        <v>0</v>
      </c>
      <c r="S29" s="184">
        <f t="shared" si="10"/>
        <v>1.8759999999999888E-2</v>
      </c>
      <c r="T29" s="28"/>
      <c r="U29" s="28"/>
      <c r="V29" s="28"/>
      <c r="W29" s="28"/>
      <c r="X29" s="28"/>
      <c r="Y29" s="28"/>
      <c r="Z29" s="28"/>
      <c r="AA29" s="28"/>
      <c r="AB29" s="28"/>
      <c r="AC29" s="28"/>
    </row>
    <row r="30" spans="1:29" x14ac:dyDescent="0.25">
      <c r="A30" s="28"/>
      <c r="B30" s="71"/>
      <c r="C30" s="128">
        <f t="shared" si="9"/>
        <v>2021</v>
      </c>
      <c r="D30" s="131">
        <f t="shared" si="0"/>
        <v>0</v>
      </c>
      <c r="E30" s="89">
        <f t="shared" si="1"/>
        <v>0</v>
      </c>
      <c r="F30" s="118"/>
      <c r="H30" s="137" t="str">
        <f t="shared" si="6"/>
        <v xml:space="preserve">na  </v>
      </c>
      <c r="I30" s="100" t="str">
        <f>IF(AND(Price_Prpsl_Type=Validation!$H$23,$R30),Rounded_Part2_Price,"na  ")</f>
        <v xml:space="preserve">na  </v>
      </c>
      <c r="J30" s="101" t="str">
        <f>IF(AND($T$6,$R30),$H30+IF(Price_Prpsl_Type=Validation!$H$23,I30,0),"na  ")</f>
        <v xml:space="preserve">na  </v>
      </c>
      <c r="K30" s="143">
        <f t="shared" si="7"/>
        <v>0.85625487692180757</v>
      </c>
      <c r="L30" s="144">
        <f t="shared" si="2"/>
        <v>0.93743199944546218</v>
      </c>
      <c r="M30" s="137">
        <f t="shared" si="8"/>
        <v>0</v>
      </c>
      <c r="N30" s="101">
        <f t="shared" si="3"/>
        <v>0</v>
      </c>
      <c r="O30" s="101"/>
      <c r="P30" s="28"/>
      <c r="Q30" s="31" t="str">
        <f t="shared" si="4"/>
        <v>OK</v>
      </c>
      <c r="R30" s="28" t="b">
        <f t="shared" si="5"/>
        <v>0</v>
      </c>
      <c r="S30" s="184">
        <f t="shared" si="10"/>
        <v>1.8759999999999888E-2</v>
      </c>
      <c r="T30" s="28"/>
      <c r="U30" s="28"/>
      <c r="V30" s="28"/>
      <c r="W30" s="28"/>
      <c r="X30" s="28"/>
      <c r="Y30" s="28"/>
      <c r="Z30" s="28"/>
      <c r="AA30" s="28"/>
      <c r="AB30" s="28"/>
      <c r="AC30" s="28"/>
    </row>
    <row r="31" spans="1:29" x14ac:dyDescent="0.25">
      <c r="A31" s="28"/>
      <c r="B31" s="71"/>
      <c r="C31" s="128">
        <f t="shared" si="9"/>
        <v>2022</v>
      </c>
      <c r="D31" s="131">
        <f t="shared" si="0"/>
        <v>0</v>
      </c>
      <c r="E31" s="89">
        <f t="shared" si="1"/>
        <v>0</v>
      </c>
      <c r="F31" s="118"/>
      <c r="H31" s="137" t="str">
        <f t="shared" si="6"/>
        <v xml:space="preserve">na  </v>
      </c>
      <c r="I31" s="100" t="str">
        <f>IF(AND(Price_Prpsl_Type=Validation!$H$23,$R31),Rounded_Part2_Price,"na  ")</f>
        <v xml:space="preserve">na  </v>
      </c>
      <c r="J31" s="101" t="str">
        <f>IF(AND($T$6,$R31),$H31+IF(Price_Prpsl_Type=Validation!$H$23,I31,0),"na  ")</f>
        <v xml:space="preserve">na  </v>
      </c>
      <c r="K31" s="143">
        <f t="shared" si="7"/>
        <v>0.84048733452609803</v>
      </c>
      <c r="L31" s="144">
        <f t="shared" si="2"/>
        <v>0.93072626815618242</v>
      </c>
      <c r="M31" s="137">
        <f t="shared" si="8"/>
        <v>0</v>
      </c>
      <c r="N31" s="101">
        <f t="shared" si="3"/>
        <v>0</v>
      </c>
      <c r="O31" s="101"/>
      <c r="P31" s="28"/>
      <c r="Q31" s="31" t="str">
        <f t="shared" si="4"/>
        <v>OK</v>
      </c>
      <c r="R31" s="28" t="b">
        <f t="shared" si="5"/>
        <v>0</v>
      </c>
      <c r="S31" s="184">
        <f t="shared" si="10"/>
        <v>1.8759999999999888E-2</v>
      </c>
      <c r="T31" s="28"/>
      <c r="U31" s="28"/>
      <c r="V31" s="28"/>
      <c r="W31" s="28"/>
      <c r="X31" s="28"/>
      <c r="Y31" s="28"/>
      <c r="Z31" s="28"/>
      <c r="AA31" s="28"/>
      <c r="AB31" s="28"/>
      <c r="AC31" s="28"/>
    </row>
    <row r="32" spans="1:29" x14ac:dyDescent="0.25">
      <c r="A32" s="28"/>
      <c r="B32" s="71"/>
      <c r="C32" s="128">
        <f t="shared" si="9"/>
        <v>2023</v>
      </c>
      <c r="D32" s="131">
        <f t="shared" si="0"/>
        <v>0</v>
      </c>
      <c r="E32" s="89">
        <f t="shared" si="1"/>
        <v>0</v>
      </c>
      <c r="F32" s="118"/>
      <c r="H32" s="137" t="str">
        <f t="shared" si="6"/>
        <v xml:space="preserve">na  </v>
      </c>
      <c r="I32" s="100" t="str">
        <f>IF(AND(Price_Prpsl_Type=Validation!$H$23,$R32),Rounded_Part2_Price,"na  ")</f>
        <v xml:space="preserve">na  </v>
      </c>
      <c r="J32" s="101" t="str">
        <f>IF(AND($T$6,$R32),$H32+IF(Price_Prpsl_Type=Validation!$H$23,I32,0),"na  ")</f>
        <v xml:space="preserve">na  </v>
      </c>
      <c r="K32" s="143">
        <f t="shared" si="7"/>
        <v>0.8250101442205211</v>
      </c>
      <c r="L32" s="144">
        <f t="shared" si="2"/>
        <v>0.92406850496714965</v>
      </c>
      <c r="M32" s="137">
        <f t="shared" si="8"/>
        <v>0</v>
      </c>
      <c r="N32" s="101">
        <f t="shared" si="3"/>
        <v>0</v>
      </c>
      <c r="O32" s="101"/>
      <c r="P32" s="28"/>
      <c r="Q32" s="31" t="str">
        <f t="shared" si="4"/>
        <v>OK</v>
      </c>
      <c r="R32" s="28" t="b">
        <f t="shared" si="5"/>
        <v>0</v>
      </c>
      <c r="S32" s="184">
        <f t="shared" si="10"/>
        <v>1.8759999999999888E-2</v>
      </c>
      <c r="T32" s="28"/>
      <c r="U32" s="28"/>
      <c r="V32" s="28"/>
      <c r="W32" s="28"/>
      <c r="X32" s="28"/>
      <c r="Y32" s="28"/>
      <c r="Z32" s="28"/>
      <c r="AA32" s="28"/>
      <c r="AB32" s="28"/>
      <c r="AC32" s="28"/>
    </row>
    <row r="33" spans="1:29" x14ac:dyDescent="0.25">
      <c r="A33" s="28"/>
      <c r="B33" s="71"/>
      <c r="C33" s="128">
        <f t="shared" si="9"/>
        <v>2024</v>
      </c>
      <c r="D33" s="131">
        <f t="shared" si="0"/>
        <v>0</v>
      </c>
      <c r="E33" s="89">
        <f t="shared" si="1"/>
        <v>0</v>
      </c>
      <c r="F33" s="118"/>
      <c r="H33" s="137" t="str">
        <f t="shared" si="6"/>
        <v xml:space="preserve">na  </v>
      </c>
      <c r="I33" s="100" t="str">
        <f>IF(AND(Price_Prpsl_Type=Validation!$H$23,$R33),Rounded_Part2_Price,"na  ")</f>
        <v xml:space="preserve">na  </v>
      </c>
      <c r="J33" s="101" t="str">
        <f>IF(AND($T$6,$R33),$H33+IF(Price_Prpsl_Type=Validation!$H$23,I33,0),"na  ")</f>
        <v xml:space="preserve">na  </v>
      </c>
      <c r="K33" s="143">
        <f t="shared" si="7"/>
        <v>0.8098179593039786</v>
      </c>
      <c r="L33" s="144">
        <f t="shared" si="2"/>
        <v>0.91745836674820491</v>
      </c>
      <c r="M33" s="137">
        <f t="shared" si="8"/>
        <v>0</v>
      </c>
      <c r="N33" s="101">
        <f t="shared" si="3"/>
        <v>0</v>
      </c>
      <c r="O33" s="101"/>
      <c r="P33" s="28"/>
      <c r="Q33" s="31" t="str">
        <f t="shared" si="4"/>
        <v>OK</v>
      </c>
      <c r="R33" s="28" t="b">
        <f t="shared" si="5"/>
        <v>0</v>
      </c>
      <c r="S33" s="184">
        <f t="shared" si="10"/>
        <v>1.8759999999999888E-2</v>
      </c>
      <c r="T33" s="28"/>
      <c r="U33" s="28"/>
      <c r="V33" s="28"/>
      <c r="W33" s="28"/>
      <c r="X33" s="28"/>
      <c r="Y33" s="28"/>
      <c r="Z33" s="28"/>
      <c r="AA33" s="28"/>
      <c r="AB33" s="28"/>
      <c r="AC33" s="28"/>
    </row>
    <row r="34" spans="1:29" x14ac:dyDescent="0.25">
      <c r="A34" s="28"/>
      <c r="B34" s="71"/>
      <c r="C34" s="128">
        <f t="shared" si="9"/>
        <v>2025</v>
      </c>
      <c r="D34" s="131">
        <f t="shared" si="0"/>
        <v>0</v>
      </c>
      <c r="E34" s="89">
        <f t="shared" si="1"/>
        <v>0</v>
      </c>
      <c r="F34" s="118"/>
      <c r="H34" s="137" t="str">
        <f t="shared" si="6"/>
        <v xml:space="preserve">na  </v>
      </c>
      <c r="I34" s="100" t="str">
        <f>IF(AND(Price_Prpsl_Type=Validation!$H$23,$R34),Rounded_Part2_Price,"na  ")</f>
        <v xml:space="preserve">na  </v>
      </c>
      <c r="J34" s="101" t="str">
        <f>IF(AND($T$6,$R34),$H34+IF(Price_Prpsl_Type=Validation!$H$23,I34,0),"na  ")</f>
        <v xml:space="preserve">na  </v>
      </c>
      <c r="K34" s="143">
        <f t="shared" si="7"/>
        <v>0.79490553153243027</v>
      </c>
      <c r="L34" s="144">
        <f t="shared" si="2"/>
        <v>0.91089551282370251</v>
      </c>
      <c r="M34" s="137">
        <f t="shared" si="8"/>
        <v>0</v>
      </c>
      <c r="N34" s="101">
        <f t="shared" si="3"/>
        <v>0</v>
      </c>
      <c r="O34" s="101"/>
      <c r="P34" s="28"/>
      <c r="Q34" s="31" t="str">
        <f t="shared" si="4"/>
        <v>OK</v>
      </c>
      <c r="R34" s="28" t="b">
        <f t="shared" si="5"/>
        <v>0</v>
      </c>
      <c r="S34" s="184">
        <f t="shared" si="10"/>
        <v>1.8759999999999888E-2</v>
      </c>
      <c r="T34" s="28"/>
      <c r="U34" s="28"/>
      <c r="V34" s="28"/>
      <c r="W34" s="28"/>
      <c r="X34" s="28"/>
      <c r="Y34" s="28"/>
      <c r="Z34" s="28"/>
      <c r="AA34" s="28"/>
      <c r="AB34" s="28"/>
      <c r="AC34" s="28"/>
    </row>
    <row r="35" spans="1:29" x14ac:dyDescent="0.25">
      <c r="A35" s="28"/>
      <c r="B35" s="71"/>
      <c r="C35" s="128">
        <f t="shared" si="9"/>
        <v>2026</v>
      </c>
      <c r="D35" s="131">
        <f t="shared" si="0"/>
        <v>0</v>
      </c>
      <c r="E35" s="89">
        <f t="shared" si="1"/>
        <v>0</v>
      </c>
      <c r="F35" s="118"/>
      <c r="H35" s="137" t="str">
        <f t="shared" si="6"/>
        <v xml:space="preserve">na  </v>
      </c>
      <c r="I35" s="100" t="str">
        <f>IF(AND(Price_Prpsl_Type=Validation!$H$23,$R35),Rounded_Part2_Price,"na  ")</f>
        <v xml:space="preserve">na  </v>
      </c>
      <c r="J35" s="101" t="str">
        <f>IF(AND($T$6,$R35),$H35+IF(Price_Prpsl_Type=Validation!$H$23,I35,0),"na  ")</f>
        <v xml:space="preserve">na  </v>
      </c>
      <c r="K35" s="143">
        <f t="shared" si="7"/>
        <v>0.78026770930585254</v>
      </c>
      <c r="L35" s="144">
        <f t="shared" si="2"/>
        <v>0.90437960495495073</v>
      </c>
      <c r="M35" s="137">
        <f t="shared" si="8"/>
        <v>0</v>
      </c>
      <c r="N35" s="101">
        <f t="shared" si="3"/>
        <v>0</v>
      </c>
      <c r="O35" s="101"/>
      <c r="P35" s="28"/>
      <c r="Q35" s="31" t="str">
        <f t="shared" si="4"/>
        <v>OK</v>
      </c>
      <c r="R35" s="28" t="b">
        <f t="shared" si="5"/>
        <v>0</v>
      </c>
      <c r="S35" s="184">
        <f t="shared" si="10"/>
        <v>1.8759999999999888E-2</v>
      </c>
      <c r="T35" s="28"/>
      <c r="U35" s="28"/>
      <c r="V35" s="28"/>
      <c r="W35" s="28"/>
      <c r="X35" s="28"/>
      <c r="Y35" s="28"/>
      <c r="Z35" s="28"/>
      <c r="AA35" s="28"/>
      <c r="AB35" s="28"/>
      <c r="AC35" s="28"/>
    </row>
    <row r="36" spans="1:29" x14ac:dyDescent="0.25">
      <c r="A36" s="28"/>
      <c r="B36" s="71"/>
      <c r="C36" s="128">
        <f t="shared" si="9"/>
        <v>2027</v>
      </c>
      <c r="D36" s="131">
        <f t="shared" si="0"/>
        <v>0</v>
      </c>
      <c r="E36" s="89">
        <f t="shared" si="1"/>
        <v>0</v>
      </c>
      <c r="F36" s="118"/>
      <c r="H36" s="137" t="str">
        <f t="shared" si="6"/>
        <v xml:space="preserve">na  </v>
      </c>
      <c r="I36" s="100" t="str">
        <f>IF(AND(Price_Prpsl_Type=Validation!$H$23,$R36),Rounded_Part2_Price,"na  ")</f>
        <v xml:space="preserve">na  </v>
      </c>
      <c r="J36" s="101" t="str">
        <f>IF(AND($T$6,$R36),$H36+IF(Price_Prpsl_Type=Validation!$H$23,I36,0),"na  ")</f>
        <v xml:space="preserve">na  </v>
      </c>
      <c r="K36" s="143">
        <f t="shared" si="7"/>
        <v>0.76589943588858278</v>
      </c>
      <c r="L36" s="144">
        <f t="shared" si="2"/>
        <v>0.89791030732278088</v>
      </c>
      <c r="M36" s="137">
        <f t="shared" si="8"/>
        <v>0</v>
      </c>
      <c r="N36" s="101">
        <f t="shared" si="3"/>
        <v>0</v>
      </c>
      <c r="O36" s="101"/>
      <c r="P36" s="28"/>
      <c r="Q36" s="31" t="str">
        <f t="shared" si="4"/>
        <v>OK</v>
      </c>
      <c r="R36" s="28" t="b">
        <f t="shared" si="5"/>
        <v>0</v>
      </c>
      <c r="S36" s="184">
        <f t="shared" si="10"/>
        <v>1.8759999999999888E-2</v>
      </c>
      <c r="T36" s="28"/>
      <c r="U36" s="28"/>
      <c r="V36" s="28"/>
      <c r="W36" s="28"/>
      <c r="X36" s="28"/>
      <c r="Y36" s="28"/>
      <c r="Z36" s="28"/>
      <c r="AA36" s="28"/>
      <c r="AB36" s="28"/>
      <c r="AC36" s="28"/>
    </row>
    <row r="37" spans="1:29" x14ac:dyDescent="0.25">
      <c r="A37" s="28"/>
      <c r="B37" s="71"/>
      <c r="C37" s="128">
        <f t="shared" si="9"/>
        <v>2028</v>
      </c>
      <c r="D37" s="131">
        <f t="shared" si="0"/>
        <v>0</v>
      </c>
      <c r="E37" s="89">
        <f t="shared" si="1"/>
        <v>0</v>
      </c>
      <c r="F37" s="118"/>
      <c r="H37" s="137" t="str">
        <f t="shared" si="6"/>
        <v xml:space="preserve">na  </v>
      </c>
      <c r="I37" s="100" t="str">
        <f>IF(AND(Price_Prpsl_Type=Validation!$H$23,$R37),Rounded_Part2_Price,"na  ")</f>
        <v xml:space="preserve">na  </v>
      </c>
      <c r="J37" s="101" t="str">
        <f>IF(AND($T$6,$R37),$H37+IF(Price_Prpsl_Type=Validation!$H$23,I37,0),"na  ")</f>
        <v xml:space="preserve">na  </v>
      </c>
      <c r="K37" s="143">
        <f t="shared" si="7"/>
        <v>0.75179574766243562</v>
      </c>
      <c r="L37" s="144">
        <f t="shared" si="2"/>
        <v>0.89148728651023879</v>
      </c>
      <c r="M37" s="137">
        <f t="shared" si="8"/>
        <v>0</v>
      </c>
      <c r="N37" s="101">
        <f t="shared" si="3"/>
        <v>0</v>
      </c>
      <c r="O37" s="101"/>
      <c r="P37" s="28"/>
      <c r="Q37" s="31" t="str">
        <f t="shared" si="4"/>
        <v>OK</v>
      </c>
      <c r="R37" s="28" t="b">
        <f t="shared" si="5"/>
        <v>0</v>
      </c>
      <c r="S37" s="184">
        <f t="shared" si="10"/>
        <v>1.8759999999999888E-2</v>
      </c>
      <c r="T37" s="28"/>
      <c r="U37" s="28"/>
      <c r="V37" s="28"/>
      <c r="W37" s="28"/>
      <c r="X37" s="28"/>
      <c r="Y37" s="28"/>
      <c r="Z37" s="28"/>
      <c r="AA37" s="28"/>
      <c r="AB37" s="28"/>
      <c r="AC37" s="28"/>
    </row>
    <row r="38" spans="1:29" x14ac:dyDescent="0.25">
      <c r="A38" s="28"/>
      <c r="B38" s="71"/>
      <c r="C38" s="128">
        <f t="shared" si="9"/>
        <v>2029</v>
      </c>
      <c r="D38" s="131">
        <f t="shared" si="0"/>
        <v>0</v>
      </c>
      <c r="E38" s="89">
        <f t="shared" si="1"/>
        <v>0</v>
      </c>
      <c r="F38" s="118"/>
      <c r="H38" s="137" t="str">
        <f t="shared" si="6"/>
        <v xml:space="preserve">na  </v>
      </c>
      <c r="I38" s="100" t="str">
        <f>IF(AND(Price_Prpsl_Type=Validation!$H$23,$R38),Rounded_Part2_Price,"na  ")</f>
        <v xml:space="preserve">na  </v>
      </c>
      <c r="J38" s="101" t="str">
        <f>IF(AND($T$6,$R38),$H38+IF(Price_Prpsl_Type=Validation!$H$23,I38,0),"na  ")</f>
        <v xml:space="preserve">na  </v>
      </c>
      <c r="K38" s="143">
        <f t="shared" si="7"/>
        <v>0.73795177241198684</v>
      </c>
      <c r="L38" s="144">
        <f t="shared" si="2"/>
        <v>0.88511021148540159</v>
      </c>
      <c r="M38" s="137">
        <f t="shared" si="8"/>
        <v>0</v>
      </c>
      <c r="N38" s="101">
        <f t="shared" si="3"/>
        <v>0</v>
      </c>
      <c r="O38" s="101"/>
      <c r="P38" s="28"/>
      <c r="Q38" s="31" t="str">
        <f t="shared" si="4"/>
        <v>OK</v>
      </c>
      <c r="R38" s="28" t="b">
        <f t="shared" si="5"/>
        <v>0</v>
      </c>
      <c r="S38" s="184">
        <f t="shared" si="10"/>
        <v>1.8759999999999888E-2</v>
      </c>
      <c r="T38" s="28"/>
      <c r="U38" s="28"/>
      <c r="V38" s="28"/>
      <c r="W38" s="28"/>
      <c r="X38" s="28"/>
      <c r="Y38" s="28"/>
      <c r="Z38" s="28"/>
      <c r="AA38" s="28"/>
      <c r="AB38" s="28"/>
      <c r="AC38" s="28"/>
    </row>
    <row r="39" spans="1:29" x14ac:dyDescent="0.25">
      <c r="A39" s="28"/>
      <c r="B39" s="71"/>
      <c r="C39" s="128">
        <f t="shared" si="9"/>
        <v>2030</v>
      </c>
      <c r="D39" s="131">
        <f t="shared" si="0"/>
        <v>0</v>
      </c>
      <c r="E39" s="89">
        <f t="shared" si="1"/>
        <v>0</v>
      </c>
      <c r="F39" s="118"/>
      <c r="H39" s="137" t="str">
        <f t="shared" si="6"/>
        <v xml:space="preserve">na  </v>
      </c>
      <c r="I39" s="100" t="str">
        <f>IF(AND(Price_Prpsl_Type=Validation!$H$23,$R39),Rounded_Part2_Price,"na  ")</f>
        <v xml:space="preserve">na  </v>
      </c>
      <c r="J39" s="101" t="str">
        <f>IF(AND($T$6,$R39),$H39+IF(Price_Prpsl_Type=Validation!$H$23,I39,0),"na  ")</f>
        <v xml:space="preserve">na  </v>
      </c>
      <c r="K39" s="143">
        <f t="shared" si="7"/>
        <v>0.72436272764143361</v>
      </c>
      <c r="L39" s="144">
        <f t="shared" si="2"/>
        <v>0.8787787535843169</v>
      </c>
      <c r="M39" s="137">
        <f t="shared" si="8"/>
        <v>0</v>
      </c>
      <c r="N39" s="101">
        <f t="shared" si="3"/>
        <v>0</v>
      </c>
      <c r="O39" s="101"/>
      <c r="P39" s="28"/>
      <c r="Q39" s="31" t="str">
        <f t="shared" si="4"/>
        <v>OK</v>
      </c>
      <c r="R39" s="28" t="b">
        <f t="shared" si="5"/>
        <v>0</v>
      </c>
      <c r="S39" s="184">
        <f t="shared" si="10"/>
        <v>1.8759999999999888E-2</v>
      </c>
      <c r="T39" s="28"/>
      <c r="U39" s="28"/>
      <c r="V39" s="28"/>
      <c r="W39" s="28"/>
      <c r="X39" s="28"/>
      <c r="Y39" s="28"/>
      <c r="Z39" s="28"/>
      <c r="AA39" s="28"/>
      <c r="AB39" s="28"/>
      <c r="AC39" s="28"/>
    </row>
    <row r="40" spans="1:29" x14ac:dyDescent="0.25">
      <c r="A40" s="28"/>
      <c r="B40" s="71"/>
      <c r="C40" s="128">
        <f t="shared" si="9"/>
        <v>2031</v>
      </c>
      <c r="D40" s="131">
        <f t="shared" si="0"/>
        <v>0</v>
      </c>
      <c r="E40" s="89">
        <f t="shared" si="1"/>
        <v>0</v>
      </c>
      <c r="F40" s="118"/>
      <c r="H40" s="137" t="str">
        <f t="shared" si="6"/>
        <v xml:space="preserve">na  </v>
      </c>
      <c r="I40" s="100" t="str">
        <f>IF(AND(Price_Prpsl_Type=Validation!$H$23,$R40),Rounded_Part2_Price,"na  ")</f>
        <v xml:space="preserve">na  </v>
      </c>
      <c r="J40" s="101" t="str">
        <f>IF(AND($T$6,$R40),$H40+IF(Price_Prpsl_Type=Validation!$H$23,I40,0),"na  ")</f>
        <v xml:space="preserve">na  </v>
      </c>
      <c r="K40" s="143">
        <f t="shared" si="7"/>
        <v>0.71102391892244854</v>
      </c>
      <c r="L40" s="144">
        <f t="shared" si="2"/>
        <v>0.87249258649406347</v>
      </c>
      <c r="M40" s="137">
        <f t="shared" si="8"/>
        <v>0</v>
      </c>
      <c r="N40" s="101">
        <f t="shared" si="3"/>
        <v>0</v>
      </c>
      <c r="O40" s="101"/>
      <c r="P40" s="28"/>
      <c r="Q40" s="31" t="str">
        <f t="shared" si="4"/>
        <v>OK</v>
      </c>
      <c r="R40" s="28" t="b">
        <f t="shared" si="5"/>
        <v>0</v>
      </c>
      <c r="S40" s="184">
        <f t="shared" si="10"/>
        <v>1.8759999999999888E-2</v>
      </c>
      <c r="T40" s="28"/>
      <c r="U40" s="28"/>
      <c r="V40" s="28"/>
      <c r="W40" s="28"/>
      <c r="X40" s="28"/>
      <c r="Y40" s="28"/>
      <c r="Z40" s="28"/>
      <c r="AA40" s="28"/>
      <c r="AB40" s="28"/>
      <c r="AC40" s="28"/>
    </row>
    <row r="41" spans="1:29" x14ac:dyDescent="0.25">
      <c r="A41" s="28"/>
      <c r="B41" s="71"/>
      <c r="C41" s="128">
        <f t="shared" si="9"/>
        <v>2032</v>
      </c>
      <c r="D41" s="131">
        <f t="shared" si="0"/>
        <v>0</v>
      </c>
      <c r="E41" s="89">
        <f t="shared" si="1"/>
        <v>0</v>
      </c>
      <c r="F41" s="118"/>
      <c r="H41" s="137" t="str">
        <f t="shared" si="6"/>
        <v xml:space="preserve">na  </v>
      </c>
      <c r="I41" s="100" t="str">
        <f>IF(AND(Price_Prpsl_Type=Validation!$H$23,$R41),Rounded_Part2_Price,"na  ")</f>
        <v xml:space="preserve">na  </v>
      </c>
      <c r="J41" s="101" t="str">
        <f>IF(AND($T$6,$R41),$H41+IF(Price_Prpsl_Type=Validation!$H$23,I41,0),"na  ")</f>
        <v xml:space="preserve">na  </v>
      </c>
      <c r="K41" s="143">
        <f t="shared" si="7"/>
        <v>0.69793073827245733</v>
      </c>
      <c r="L41" s="144">
        <f t="shared" si="2"/>
        <v>0.86625138623593401</v>
      </c>
      <c r="M41" s="137">
        <f t="shared" si="8"/>
        <v>0</v>
      </c>
      <c r="N41" s="101">
        <f t="shared" si="3"/>
        <v>0</v>
      </c>
      <c r="O41" s="101"/>
      <c r="P41" s="28"/>
      <c r="Q41" s="31" t="str">
        <f t="shared" si="4"/>
        <v>OK</v>
      </c>
      <c r="R41" s="28" t="b">
        <f t="shared" si="5"/>
        <v>0</v>
      </c>
      <c r="S41" s="184">
        <f t="shared" si="10"/>
        <v>1.8759999999999888E-2</v>
      </c>
      <c r="T41" s="28"/>
      <c r="U41" s="28"/>
      <c r="V41" s="28"/>
      <c r="W41" s="28"/>
      <c r="X41" s="28"/>
      <c r="Y41" s="28"/>
      <c r="Z41" s="28"/>
      <c r="AA41" s="28"/>
      <c r="AB41" s="28"/>
      <c r="AC41" s="28"/>
    </row>
    <row r="42" spans="1:29" x14ac:dyDescent="0.25">
      <c r="A42" s="28"/>
      <c r="B42" s="71"/>
      <c r="C42" s="128">
        <f t="shared" si="9"/>
        <v>2033</v>
      </c>
      <c r="D42" s="131">
        <f t="shared" si="0"/>
        <v>0</v>
      </c>
      <c r="E42" s="89">
        <f t="shared" si="1"/>
        <v>0</v>
      </c>
      <c r="F42" s="118"/>
      <c r="H42" s="137" t="str">
        <f t="shared" si="6"/>
        <v xml:space="preserve">na  </v>
      </c>
      <c r="I42" s="100" t="str">
        <f>IF(AND(Price_Prpsl_Type=Validation!$H$23,$R42),Rounded_Part2_Price,"na  ")</f>
        <v xml:space="preserve">na  </v>
      </c>
      <c r="J42" s="101" t="str">
        <f>IF(AND($T$6,$R42),$H42+IF(Price_Prpsl_Type=Validation!$H$23,I42,0),"na  ")</f>
        <v xml:space="preserve">na  </v>
      </c>
      <c r="K42" s="143">
        <f t="shared" si="7"/>
        <v>0.68507866256277961</v>
      </c>
      <c r="L42" s="144">
        <f t="shared" si="2"/>
        <v>0.86005483114873793</v>
      </c>
      <c r="M42" s="137">
        <f t="shared" si="8"/>
        <v>0</v>
      </c>
      <c r="N42" s="101">
        <f t="shared" si="3"/>
        <v>0</v>
      </c>
      <c r="O42" s="101"/>
      <c r="P42" s="28"/>
      <c r="Q42" s="31" t="str">
        <f t="shared" si="4"/>
        <v>OK</v>
      </c>
      <c r="R42" s="28" t="b">
        <f t="shared" si="5"/>
        <v>0</v>
      </c>
      <c r="S42" s="184">
        <f t="shared" si="10"/>
        <v>1.8759999999999888E-2</v>
      </c>
      <c r="T42" s="28"/>
      <c r="U42" s="28"/>
      <c r="V42" s="28"/>
      <c r="W42" s="28"/>
      <c r="X42" s="28"/>
      <c r="Y42" s="28"/>
      <c r="Z42" s="28"/>
      <c r="AA42" s="28"/>
      <c r="AB42" s="28"/>
      <c r="AC42" s="28"/>
    </row>
    <row r="43" spans="1:29" x14ac:dyDescent="0.25">
      <c r="A43" s="28"/>
      <c r="B43" s="71"/>
      <c r="C43" s="128">
        <f t="shared" si="9"/>
        <v>2034</v>
      </c>
      <c r="D43" s="131">
        <f t="shared" si="0"/>
        <v>0</v>
      </c>
      <c r="E43" s="89">
        <f t="shared" si="1"/>
        <v>0</v>
      </c>
      <c r="F43" s="118"/>
      <c r="H43" s="137" t="str">
        <f t="shared" si="6"/>
        <v xml:space="preserve">na  </v>
      </c>
      <c r="I43" s="100" t="str">
        <f>IF(AND(Price_Prpsl_Type=Validation!$H$23,$R43),Rounded_Part2_Price,"na  ")</f>
        <v xml:space="preserve">na  </v>
      </c>
      <c r="J43" s="101" t="str">
        <f>IF(AND($T$6,$R43),$H43+IF(Price_Prpsl_Type=Validation!$H$23,I43,0),"na  ")</f>
        <v xml:space="preserve">na  </v>
      </c>
      <c r="K43" s="143">
        <f t="shared" si="7"/>
        <v>0.67246325195608359</v>
      </c>
      <c r="L43" s="144">
        <f t="shared" si="2"/>
        <v>0.85390260187222289</v>
      </c>
      <c r="M43" s="137">
        <f t="shared" si="8"/>
        <v>0</v>
      </c>
      <c r="N43" s="101">
        <f t="shared" si="3"/>
        <v>0</v>
      </c>
      <c r="O43" s="101"/>
      <c r="P43" s="28"/>
      <c r="Q43" s="31" t="str">
        <f t="shared" si="4"/>
        <v>OK</v>
      </c>
      <c r="R43" s="28" t="b">
        <f t="shared" si="5"/>
        <v>0</v>
      </c>
      <c r="S43" s="184">
        <f t="shared" si="10"/>
        <v>1.8759999999999888E-2</v>
      </c>
      <c r="T43" s="28"/>
      <c r="U43" s="28"/>
      <c r="V43" s="28"/>
      <c r="W43" s="28"/>
      <c r="X43" s="28"/>
      <c r="Y43" s="28"/>
      <c r="Z43" s="28"/>
      <c r="AA43" s="28"/>
      <c r="AB43" s="28"/>
      <c r="AC43" s="28"/>
    </row>
    <row r="44" spans="1:29" x14ac:dyDescent="0.25">
      <c r="A44" s="28"/>
      <c r="B44" s="71"/>
      <c r="C44" s="128">
        <f t="shared" si="9"/>
        <v>2035</v>
      </c>
      <c r="D44" s="131">
        <f t="shared" si="0"/>
        <v>0</v>
      </c>
      <c r="E44" s="89">
        <f t="shared" si="1"/>
        <v>0</v>
      </c>
      <c r="F44" s="118"/>
      <c r="H44" s="137" t="str">
        <f t="shared" si="6"/>
        <v xml:space="preserve">na  </v>
      </c>
      <c r="I44" s="100" t="str">
        <f>IF(AND(Price_Prpsl_Type=Validation!$H$23,$R44),Rounded_Part2_Price,"na  ")</f>
        <v xml:space="preserve">na  </v>
      </c>
      <c r="J44" s="101" t="str">
        <f>IF(AND($T$6,$R44),$H44+IF(Price_Prpsl_Type=Validation!$H$23,I44,0),"na  ")</f>
        <v xml:space="preserve">na  </v>
      </c>
      <c r="K44" s="143">
        <f t="shared" si="7"/>
        <v>0.66008014837261342</v>
      </c>
      <c r="L44" s="144">
        <f t="shared" si="2"/>
        <v>0.84779438133061669</v>
      </c>
      <c r="M44" s="137">
        <f t="shared" si="8"/>
        <v>0</v>
      </c>
      <c r="N44" s="101">
        <f t="shared" si="3"/>
        <v>0</v>
      </c>
      <c r="O44" s="101"/>
      <c r="P44" s="28"/>
      <c r="Q44" s="31" t="str">
        <f t="shared" si="4"/>
        <v>OK</v>
      </c>
      <c r="R44" s="28" t="b">
        <f t="shared" si="5"/>
        <v>0</v>
      </c>
      <c r="S44" s="184">
        <f t="shared" si="10"/>
        <v>1.8759999999999888E-2</v>
      </c>
      <c r="T44" s="28"/>
      <c r="U44" s="28"/>
      <c r="V44" s="28"/>
      <c r="W44" s="28"/>
      <c r="X44" s="28"/>
      <c r="Y44" s="28"/>
      <c r="Z44" s="28"/>
      <c r="AA44" s="28"/>
      <c r="AB44" s="28"/>
      <c r="AC44" s="28"/>
    </row>
    <row r="45" spans="1:29" x14ac:dyDescent="0.25">
      <c r="A45" s="28"/>
      <c r="B45" s="71"/>
      <c r="C45" s="128">
        <f t="shared" si="9"/>
        <v>2036</v>
      </c>
      <c r="D45" s="131">
        <f t="shared" si="0"/>
        <v>0</v>
      </c>
      <c r="E45" s="89">
        <f t="shared" si="1"/>
        <v>0</v>
      </c>
      <c r="F45" s="118"/>
      <c r="H45" s="137" t="str">
        <f t="shared" si="6"/>
        <v xml:space="preserve">na  </v>
      </c>
      <c r="I45" s="100" t="str">
        <f>IF(AND(Price_Prpsl_Type=Validation!$H$23,$R45),Rounded_Part2_Price,"na  ")</f>
        <v xml:space="preserve">na  </v>
      </c>
      <c r="J45" s="101" t="str">
        <f>IF(AND($T$6,$R45),$H45+IF(Price_Prpsl_Type=Validation!$H$23,I45,0),"na  ")</f>
        <v xml:space="preserve">na  </v>
      </c>
      <c r="K45" s="143">
        <f t="shared" si="7"/>
        <v>0.64792507398466126</v>
      </c>
      <c r="L45" s="144">
        <f t="shared" si="2"/>
        <v>0.84172985471628381</v>
      </c>
      <c r="M45" s="137">
        <f t="shared" si="8"/>
        <v>0</v>
      </c>
      <c r="N45" s="101">
        <f t="shared" si="3"/>
        <v>0</v>
      </c>
      <c r="O45" s="101"/>
      <c r="P45" s="28"/>
      <c r="Q45" s="31" t="str">
        <f t="shared" si="4"/>
        <v>OK</v>
      </c>
      <c r="R45" s="28" t="b">
        <f t="shared" si="5"/>
        <v>0</v>
      </c>
      <c r="S45" s="184">
        <f t="shared" si="10"/>
        <v>1.8759999999999888E-2</v>
      </c>
      <c r="T45" s="28"/>
      <c r="U45" s="28"/>
      <c r="V45" s="28"/>
      <c r="W45" s="28"/>
      <c r="X45" s="28"/>
      <c r="Y45" s="28"/>
      <c r="Z45" s="28"/>
      <c r="AA45" s="28"/>
      <c r="AB45" s="28"/>
      <c r="AC45" s="28"/>
    </row>
    <row r="46" spans="1:29" x14ac:dyDescent="0.25">
      <c r="A46" s="28"/>
      <c r="B46" s="71"/>
      <c r="C46" s="128">
        <f t="shared" si="9"/>
        <v>2037</v>
      </c>
      <c r="D46" s="131">
        <f t="shared" si="0"/>
        <v>0</v>
      </c>
      <c r="E46" s="89">
        <f t="shared" si="1"/>
        <v>0</v>
      </c>
      <c r="F46" s="118"/>
      <c r="H46" s="137" t="str">
        <f t="shared" si="6"/>
        <v xml:space="preserve">na  </v>
      </c>
      <c r="I46" s="100" t="str">
        <f>IF(AND(Price_Prpsl_Type=Validation!$H$23,$R46),Rounded_Part2_Price,"na  ")</f>
        <v xml:space="preserve">na  </v>
      </c>
      <c r="J46" s="101" t="str">
        <f>IF(AND($T$6,$R46),$H46+IF(Price_Prpsl_Type=Validation!$H$23,I46,0),"na  ")</f>
        <v xml:space="preserve">na  </v>
      </c>
      <c r="K46" s="143">
        <f t="shared" si="7"/>
        <v>0.63599382973876217</v>
      </c>
      <c r="L46" s="144">
        <f t="shared" si="2"/>
        <v>0.83570870947350273</v>
      </c>
      <c r="M46" s="137">
        <f t="shared" si="8"/>
        <v>0</v>
      </c>
      <c r="N46" s="101">
        <f t="shared" si="3"/>
        <v>0</v>
      </c>
      <c r="O46" s="101"/>
      <c r="P46" s="28"/>
      <c r="Q46" s="31" t="str">
        <f t="shared" si="4"/>
        <v>OK</v>
      </c>
      <c r="R46" s="28" t="b">
        <f t="shared" si="5"/>
        <v>0</v>
      </c>
      <c r="S46" s="184">
        <f t="shared" si="10"/>
        <v>1.8759999999999888E-2</v>
      </c>
      <c r="T46" s="28"/>
      <c r="U46" s="28"/>
      <c r="V46" s="28"/>
      <c r="W46" s="28"/>
      <c r="X46" s="28"/>
      <c r="Y46" s="28"/>
      <c r="Z46" s="28"/>
      <c r="AA46" s="28"/>
      <c r="AB46" s="28"/>
      <c r="AC46" s="28"/>
    </row>
    <row r="47" spans="1:29" x14ac:dyDescent="0.25">
      <c r="A47" s="28"/>
      <c r="B47" s="71"/>
      <c r="C47" s="128">
        <f t="shared" si="9"/>
        <v>2038</v>
      </c>
      <c r="D47" s="131">
        <f t="shared" si="0"/>
        <v>0</v>
      </c>
      <c r="E47" s="89">
        <f t="shared" si="1"/>
        <v>0</v>
      </c>
      <c r="F47" s="118"/>
      <c r="H47" s="137" t="str">
        <f t="shared" si="6"/>
        <v xml:space="preserve">na  </v>
      </c>
      <c r="I47" s="100" t="str">
        <f>IF(AND(Price_Prpsl_Type=Validation!$H$23,$R47),Rounded_Part2_Price,"na  ")</f>
        <v xml:space="preserve">na  </v>
      </c>
      <c r="J47" s="101" t="str">
        <f>IF(AND($T$6,$R47),$H47+IF(Price_Prpsl_Type=Validation!$H$23,I47,0),"na  ")</f>
        <v xml:space="preserve">na  </v>
      </c>
      <c r="K47" s="143">
        <f t="shared" si="7"/>
        <v>0.62428229390510248</v>
      </c>
      <c r="L47" s="144">
        <f t="shared" si="2"/>
        <v>0.82973063528235591</v>
      </c>
      <c r="M47" s="137">
        <f t="shared" si="8"/>
        <v>0</v>
      </c>
      <c r="N47" s="101">
        <f t="shared" si="3"/>
        <v>0</v>
      </c>
      <c r="O47" s="101"/>
      <c r="P47" s="28"/>
      <c r="Q47" s="31" t="str">
        <f t="shared" si="4"/>
        <v>OK</v>
      </c>
      <c r="R47" s="28" t="b">
        <f t="shared" si="5"/>
        <v>0</v>
      </c>
      <c r="S47" s="184">
        <f t="shared" si="10"/>
        <v>1.8759999999999888E-2</v>
      </c>
      <c r="T47" s="28"/>
      <c r="U47" s="28"/>
      <c r="V47" s="28"/>
      <c r="W47" s="28"/>
      <c r="X47" s="28"/>
      <c r="Y47" s="28"/>
      <c r="Z47" s="28"/>
      <c r="AA47" s="28"/>
      <c r="AB47" s="28"/>
      <c r="AC47" s="28"/>
    </row>
    <row r="48" spans="1:29" x14ac:dyDescent="0.25">
      <c r="A48" s="28"/>
      <c r="B48" s="71"/>
      <c r="C48" s="128">
        <f t="shared" si="9"/>
        <v>2039</v>
      </c>
      <c r="D48" s="131">
        <f t="shared" si="0"/>
        <v>0</v>
      </c>
      <c r="E48" s="89">
        <f t="shared" si="1"/>
        <v>0</v>
      </c>
      <c r="F48" s="118"/>
      <c r="H48" s="137" t="str">
        <f t="shared" si="6"/>
        <v xml:space="preserve">na  </v>
      </c>
      <c r="I48" s="100" t="str">
        <f>IF(AND(Price_Prpsl_Type=Validation!$H$23,$R48),Rounded_Part2_Price,"na  ")</f>
        <v xml:space="preserve">na  </v>
      </c>
      <c r="J48" s="101" t="str">
        <f>IF(AND($T$6,$R48),$H48+IF(Price_Prpsl_Type=Validation!$H$23,I48,0),"na  ")</f>
        <v xml:space="preserve">na  </v>
      </c>
      <c r="K48" s="143">
        <f t="shared" si="7"/>
        <v>0.61278642065364031</v>
      </c>
      <c r="L48" s="144">
        <f t="shared" si="2"/>
        <v>0.82379532404273725</v>
      </c>
      <c r="M48" s="137">
        <f t="shared" si="8"/>
        <v>0</v>
      </c>
      <c r="N48" s="101">
        <f t="shared" si="3"/>
        <v>0</v>
      </c>
      <c r="O48" s="101"/>
      <c r="P48" s="28"/>
      <c r="Q48" s="31" t="str">
        <f t="shared" si="4"/>
        <v>OK</v>
      </c>
      <c r="R48" s="28" t="b">
        <f t="shared" si="5"/>
        <v>0</v>
      </c>
      <c r="S48" s="184">
        <f t="shared" si="10"/>
        <v>1.8759999999999888E-2</v>
      </c>
      <c r="T48" s="28"/>
      <c r="U48" s="28"/>
      <c r="V48" s="28"/>
      <c r="W48" s="28"/>
      <c r="X48" s="28"/>
      <c r="Y48" s="28"/>
      <c r="Z48" s="28"/>
      <c r="AA48" s="28"/>
      <c r="AB48" s="28"/>
      <c r="AC48" s="28"/>
    </row>
    <row r="49" spans="1:29" x14ac:dyDescent="0.25">
      <c r="A49" s="28"/>
      <c r="B49" s="71"/>
      <c r="C49" s="128">
        <f t="shared" si="9"/>
        <v>2040</v>
      </c>
      <c r="D49" s="131">
        <f t="shared" si="0"/>
        <v>0</v>
      </c>
      <c r="E49" s="89">
        <f t="shared" si="1"/>
        <v>0</v>
      </c>
      <c r="F49" s="118"/>
      <c r="H49" s="137" t="str">
        <f t="shared" si="6"/>
        <v xml:space="preserve">na  </v>
      </c>
      <c r="I49" s="100" t="str">
        <f>IF(AND(Price_Prpsl_Type=Validation!$H$23,$R49),Rounded_Part2_Price,"na  ")</f>
        <v xml:space="preserve">na  </v>
      </c>
      <c r="J49" s="101" t="str">
        <f>IF(AND($T$6,$R49),$H49+IF(Price_Prpsl_Type=Validation!$H$23,I49,0),"na  ")</f>
        <v xml:space="preserve">na  </v>
      </c>
      <c r="K49" s="143">
        <f t="shared" si="7"/>
        <v>0.60150223865644548</v>
      </c>
      <c r="L49" s="144">
        <f t="shared" si="2"/>
        <v>0.8179024698584727</v>
      </c>
      <c r="M49" s="137">
        <f t="shared" si="8"/>
        <v>0</v>
      </c>
      <c r="N49" s="101">
        <f t="shared" si="3"/>
        <v>0</v>
      </c>
      <c r="O49" s="101"/>
      <c r="P49" s="28"/>
      <c r="Q49" s="31" t="str">
        <f t="shared" si="4"/>
        <v>OK</v>
      </c>
      <c r="R49" s="28" t="b">
        <f t="shared" si="5"/>
        <v>0</v>
      </c>
      <c r="S49" s="184">
        <f t="shared" si="10"/>
        <v>1.8759999999999888E-2</v>
      </c>
      <c r="T49" s="28"/>
      <c r="U49" s="28"/>
      <c r="V49" s="28"/>
      <c r="W49" s="28"/>
      <c r="X49" s="28"/>
      <c r="Y49" s="28"/>
      <c r="Z49" s="28"/>
      <c r="AA49" s="28"/>
      <c r="AB49" s="28"/>
      <c r="AC49" s="28"/>
    </row>
    <row r="50" spans="1:29" x14ac:dyDescent="0.25">
      <c r="A50" s="28"/>
      <c r="B50" s="71"/>
      <c r="C50" s="128">
        <f t="shared" si="9"/>
        <v>2041</v>
      </c>
      <c r="D50" s="131">
        <f t="shared" si="0"/>
        <v>0</v>
      </c>
      <c r="E50" s="89">
        <f t="shared" ref="E50:E53" si="11">IF(D50&lt;1,0,IF(D50&gt;OREC_Term+1,0,IF(D50=1,13-MONTH(CO_Date),IF(D50=OREC_Term+1,MONTH(CO_Date)-1,12))))</f>
        <v>0</v>
      </c>
      <c r="F50" s="118"/>
      <c r="H50" s="137" t="str">
        <f t="shared" si="6"/>
        <v xml:space="preserve">na  </v>
      </c>
      <c r="I50" s="100" t="str">
        <f>IF(AND(Price_Prpsl_Type=Validation!$H$23,$R50),Rounded_Part2_Price,"na  ")</f>
        <v xml:space="preserve">na  </v>
      </c>
      <c r="J50" s="101" t="str">
        <f>IF(AND($T$6,$R50),$H50+IF(Price_Prpsl_Type=Validation!$H$23,I50,0),"na  ")</f>
        <v xml:space="preserve">na  </v>
      </c>
      <c r="K50" s="143">
        <f t="shared" si="7"/>
        <v>0.59042584971577761</v>
      </c>
      <c r="L50" s="144">
        <f t="shared" si="2"/>
        <v>0.81205176902155496</v>
      </c>
      <c r="M50" s="137">
        <f t="shared" si="8"/>
        <v>0</v>
      </c>
      <c r="N50" s="101">
        <f t="shared" ref="N50:N53" si="12">IF($E50=0, 0,$M$69/$F$68)</f>
        <v>0</v>
      </c>
      <c r="O50" s="101"/>
      <c r="P50" s="28"/>
      <c r="Q50" s="31" t="str">
        <f t="shared" si="4"/>
        <v>OK</v>
      </c>
      <c r="R50" s="28" t="b">
        <f t="shared" si="5"/>
        <v>0</v>
      </c>
      <c r="S50" s="184">
        <f t="shared" si="10"/>
        <v>1.8759999999999888E-2</v>
      </c>
      <c r="T50" s="28"/>
      <c r="U50" s="28"/>
      <c r="V50" s="28"/>
      <c r="W50" s="28"/>
      <c r="X50" s="28"/>
      <c r="Y50" s="28"/>
      <c r="Z50" s="28"/>
      <c r="AA50" s="28"/>
      <c r="AB50" s="28"/>
      <c r="AC50" s="28"/>
    </row>
    <row r="51" spans="1:29" x14ac:dyDescent="0.25">
      <c r="A51" s="28"/>
      <c r="B51" s="71"/>
      <c r="C51" s="128">
        <f t="shared" si="9"/>
        <v>2042</v>
      </c>
      <c r="D51" s="131">
        <f t="shared" si="0"/>
        <v>0</v>
      </c>
      <c r="E51" s="89">
        <f t="shared" si="11"/>
        <v>0</v>
      </c>
      <c r="F51" s="118"/>
      <c r="H51" s="137" t="str">
        <f t="shared" si="6"/>
        <v xml:space="preserve">na  </v>
      </c>
      <c r="I51" s="100" t="str">
        <f>IF(AND(Price_Prpsl_Type=Validation!$H$23,$R51),Rounded_Part2_Price,"na  ")</f>
        <v xml:space="preserve">na  </v>
      </c>
      <c r="J51" s="101" t="str">
        <f>IF(AND($T$6,$R51),$H51+IF(Price_Prpsl_Type=Validation!$H$23,I51,0),"na  ")</f>
        <v xml:space="preserve">na  </v>
      </c>
      <c r="K51" s="143">
        <f t="shared" si="7"/>
        <v>0.57955342741742677</v>
      </c>
      <c r="L51" s="144">
        <f t="shared" si="2"/>
        <v>0.80624291999649056</v>
      </c>
      <c r="M51" s="137">
        <f t="shared" si="8"/>
        <v>0</v>
      </c>
      <c r="N51" s="101">
        <f t="shared" si="12"/>
        <v>0</v>
      </c>
      <c r="O51" s="101"/>
      <c r="P51" s="28"/>
      <c r="Q51" s="31" t="str">
        <f t="shared" si="4"/>
        <v>OK</v>
      </c>
      <c r="R51" s="28" t="b">
        <f t="shared" si="5"/>
        <v>0</v>
      </c>
      <c r="S51" s="184">
        <f t="shared" si="10"/>
        <v>1.8759999999999888E-2</v>
      </c>
      <c r="T51" s="28"/>
      <c r="U51" s="28"/>
      <c r="V51" s="28"/>
      <c r="W51" s="28"/>
      <c r="X51" s="28"/>
      <c r="Y51" s="28"/>
      <c r="Z51" s="28"/>
      <c r="AA51" s="28"/>
      <c r="AB51" s="28"/>
      <c r="AC51" s="28"/>
    </row>
    <row r="52" spans="1:29" x14ac:dyDescent="0.25">
      <c r="A52" s="28"/>
      <c r="B52" s="71"/>
      <c r="C52" s="128">
        <f t="shared" si="9"/>
        <v>2043</v>
      </c>
      <c r="D52" s="131">
        <f t="shared" si="0"/>
        <v>0</v>
      </c>
      <c r="E52" s="89">
        <f t="shared" si="11"/>
        <v>0</v>
      </c>
      <c r="F52" s="118"/>
      <c r="H52" s="137" t="str">
        <f t="shared" si="6"/>
        <v xml:space="preserve">na  </v>
      </c>
      <c r="I52" s="100" t="str">
        <f>IF(AND(Price_Prpsl_Type=Validation!$H$23,$R52),Rounded_Part2_Price,"na  ")</f>
        <v xml:space="preserve">na  </v>
      </c>
      <c r="J52" s="101" t="str">
        <f>IF(AND($T$6,$R52),$H52+IF(Price_Prpsl_Type=Validation!$H$23,I52,0),"na  ")</f>
        <v xml:space="preserve">na  </v>
      </c>
      <c r="K52" s="143">
        <f t="shared" si="7"/>
        <v>0.56888121580885276</v>
      </c>
      <c r="L52" s="144">
        <f t="shared" si="2"/>
        <v>0.80047562340476053</v>
      </c>
      <c r="M52" s="137">
        <f t="shared" si="8"/>
        <v>0</v>
      </c>
      <c r="N52" s="101">
        <f t="shared" si="12"/>
        <v>0</v>
      </c>
      <c r="O52" s="101"/>
      <c r="P52" s="28"/>
      <c r="Q52" s="31" t="str">
        <f t="shared" si="4"/>
        <v>OK</v>
      </c>
      <c r="R52" s="28" t="b">
        <f t="shared" si="5"/>
        <v>0</v>
      </c>
      <c r="S52" s="184">
        <f t="shared" si="10"/>
        <v>1.8759999999999888E-2</v>
      </c>
      <c r="T52" s="28"/>
      <c r="U52" s="28"/>
      <c r="V52" s="28"/>
      <c r="W52" s="28"/>
      <c r="X52" s="28"/>
      <c r="Y52" s="28"/>
      <c r="Z52" s="28"/>
      <c r="AA52" s="28"/>
      <c r="AB52" s="28"/>
      <c r="AC52" s="28"/>
    </row>
    <row r="53" spans="1:29" x14ac:dyDescent="0.25">
      <c r="A53" s="28"/>
      <c r="B53" s="71"/>
      <c r="C53" s="128">
        <f t="shared" si="9"/>
        <v>2044</v>
      </c>
      <c r="D53" s="131">
        <f t="shared" si="0"/>
        <v>0</v>
      </c>
      <c r="E53" s="89">
        <f t="shared" si="11"/>
        <v>0</v>
      </c>
      <c r="F53" s="118"/>
      <c r="H53" s="137" t="str">
        <f t="shared" si="6"/>
        <v xml:space="preserve">na  </v>
      </c>
      <c r="I53" s="100" t="str">
        <f>IF(AND(Price_Prpsl_Type=Validation!$H$23,$R53),Rounded_Part2_Price,"na  ")</f>
        <v xml:space="preserve">na  </v>
      </c>
      <c r="J53" s="101" t="str">
        <f>IF(AND($T$6,$R53),$H53+IF(Price_Prpsl_Type=Validation!$H$23,I53,0),"na  ")</f>
        <v xml:space="preserve">na  </v>
      </c>
      <c r="K53" s="143">
        <f t="shared" si="7"/>
        <v>0.55840552810166555</v>
      </c>
      <c r="L53" s="144">
        <f t="shared" si="2"/>
        <v>0.7947495820093885</v>
      </c>
      <c r="M53" s="137">
        <f t="shared" si="8"/>
        <v>0</v>
      </c>
      <c r="N53" s="101">
        <f t="shared" si="12"/>
        <v>0</v>
      </c>
      <c r="O53" s="101"/>
      <c r="P53" s="28"/>
      <c r="Q53" s="31" t="str">
        <f t="shared" si="4"/>
        <v>OK</v>
      </c>
      <c r="R53" s="28" t="b">
        <f t="shared" si="5"/>
        <v>0</v>
      </c>
      <c r="S53" s="184">
        <f t="shared" si="10"/>
        <v>1.8759999999999888E-2</v>
      </c>
      <c r="T53" s="28"/>
      <c r="U53" s="28"/>
      <c r="V53" s="28"/>
      <c r="W53" s="28"/>
      <c r="X53" s="28"/>
      <c r="Y53" s="28"/>
      <c r="Z53" s="28"/>
      <c r="AA53" s="28"/>
      <c r="AB53" s="28"/>
      <c r="AC53" s="28"/>
    </row>
    <row r="54" spans="1:29" x14ac:dyDescent="0.25">
      <c r="A54" s="28"/>
      <c r="B54" s="71"/>
      <c r="C54" s="128">
        <f t="shared" si="9"/>
        <v>2045</v>
      </c>
      <c r="D54" s="131">
        <f t="shared" si="0"/>
        <v>0</v>
      </c>
      <c r="E54" s="89">
        <f t="shared" si="1"/>
        <v>0</v>
      </c>
      <c r="F54" s="118"/>
      <c r="H54" s="137" t="str">
        <f t="shared" si="6"/>
        <v xml:space="preserve">na  </v>
      </c>
      <c r="I54" s="100" t="str">
        <f>IF(AND(Price_Prpsl_Type=Validation!$H$23,$R54),Rounded_Part2_Price,"na  ")</f>
        <v xml:space="preserve">na  </v>
      </c>
      <c r="J54" s="101" t="str">
        <f>IF(AND($T$6,$R54),$H54+IF(Price_Prpsl_Type=Validation!$H$23,I54,0),"na  ")</f>
        <v xml:space="preserve">na  </v>
      </c>
      <c r="K54" s="143">
        <f t="shared" si="7"/>
        <v>0.5481227453979991</v>
      </c>
      <c r="L54" s="144">
        <f t="shared" si="2"/>
        <v>0.78906450069962419</v>
      </c>
      <c r="M54" s="137">
        <f t="shared" si="8"/>
        <v>0</v>
      </c>
      <c r="N54" s="101">
        <f>IF($E54=0, 0,$M$69/$F$68)</f>
        <v>0</v>
      </c>
      <c r="O54" s="101"/>
      <c r="P54" s="28"/>
      <c r="Q54" s="31" t="str">
        <f t="shared" si="4"/>
        <v>OK</v>
      </c>
      <c r="R54" s="28" t="b">
        <f t="shared" si="5"/>
        <v>0</v>
      </c>
      <c r="S54" s="184">
        <f t="shared" si="10"/>
        <v>1.8759999999999888E-2</v>
      </c>
      <c r="T54" s="28"/>
      <c r="U54" s="28"/>
      <c r="V54" s="28"/>
      <c r="W54" s="28"/>
      <c r="X54" s="28"/>
      <c r="Y54" s="28"/>
      <c r="Z54" s="28"/>
      <c r="AA54" s="28"/>
      <c r="AB54" s="28"/>
      <c r="AC54" s="28"/>
    </row>
    <row r="55" spans="1:29" x14ac:dyDescent="0.25">
      <c r="A55" s="28"/>
      <c r="B55" s="71"/>
      <c r="C55" s="129">
        <f t="shared" si="9"/>
        <v>2046</v>
      </c>
      <c r="D55" s="132">
        <f t="shared" si="0"/>
        <v>0</v>
      </c>
      <c r="E55" s="89">
        <f t="shared" si="1"/>
        <v>0</v>
      </c>
      <c r="F55" s="118"/>
      <c r="H55" s="138" t="str">
        <f t="shared" si="6"/>
        <v xml:space="preserve">na  </v>
      </c>
      <c r="I55" s="139" t="str">
        <f>IF(AND(Price_Prpsl_Type=Validation!$H$23,$R55),Rounded_Part2_Price,"na  ")</f>
        <v xml:space="preserve">na  </v>
      </c>
      <c r="J55" s="140" t="str">
        <f>IF(AND($T$6,$R55),$H55+IF(Price_Prpsl_Type=Validation!$H$23,I55,0),"na  ")</f>
        <v xml:space="preserve">na  </v>
      </c>
      <c r="K55" s="145">
        <f t="shared" si="7"/>
        <v>0.53802931544033838</v>
      </c>
      <c r="L55" s="146">
        <f t="shared" si="2"/>
        <v>0.78342008647573236</v>
      </c>
      <c r="M55" s="138">
        <f t="shared" si="8"/>
        <v>0</v>
      </c>
      <c r="N55" s="140">
        <f>IF($E55=0, 0,$M$69/$F$68)</f>
        <v>0</v>
      </c>
      <c r="O55" s="101"/>
      <c r="P55" s="28"/>
      <c r="Q55" s="31" t="str">
        <f t="shared" si="4"/>
        <v>OK</v>
      </c>
      <c r="R55" s="28" t="b">
        <f t="shared" si="5"/>
        <v>0</v>
      </c>
      <c r="S55" s="184">
        <f t="shared" si="10"/>
        <v>1.8759999999999888E-2</v>
      </c>
      <c r="T55" s="28"/>
      <c r="U55" s="28"/>
      <c r="V55" s="28"/>
      <c r="W55" s="28"/>
      <c r="X55" s="28"/>
      <c r="Y55" s="28"/>
      <c r="Z55" s="28"/>
      <c r="AA55" s="28"/>
      <c r="AB55" s="28"/>
      <c r="AC55" s="28"/>
    </row>
    <row r="56" spans="1:29" x14ac:dyDescent="0.25">
      <c r="A56" s="28"/>
      <c r="B56" s="71"/>
      <c r="C56" s="90"/>
      <c r="D56" s="90"/>
      <c r="E56" s="133">
        <f>SUM(E26:E55)</f>
        <v>0</v>
      </c>
      <c r="F56" s="123"/>
      <c r="G56" s="123"/>
      <c r="H56" s="90"/>
      <c r="I56" s="90"/>
      <c r="J56" s="90"/>
      <c r="K56" s="90"/>
      <c r="L56" s="90"/>
      <c r="M56" s="90"/>
      <c r="N56" s="100"/>
      <c r="O56" s="76"/>
      <c r="P56" s="28"/>
      <c r="Q56" s="28"/>
      <c r="R56" s="28"/>
      <c r="S56" s="28"/>
      <c r="T56" s="28"/>
      <c r="U56" s="28"/>
      <c r="V56" s="28"/>
      <c r="W56" s="28"/>
      <c r="X56" s="28"/>
      <c r="Y56" s="28"/>
      <c r="Z56" s="28"/>
      <c r="AA56" s="28"/>
      <c r="AB56" s="28"/>
      <c r="AC56" s="28"/>
    </row>
    <row r="57" spans="1:29" x14ac:dyDescent="0.25">
      <c r="A57" s="28"/>
      <c r="B57" s="71"/>
      <c r="C57" s="91" t="s">
        <v>44</v>
      </c>
      <c r="D57" s="74"/>
      <c r="E57" s="92"/>
      <c r="F57" s="92"/>
      <c r="G57" s="92"/>
      <c r="H57" s="102"/>
      <c r="I57" s="102"/>
      <c r="J57" s="102"/>
      <c r="K57" s="74"/>
      <c r="L57" s="74"/>
      <c r="M57" s="74"/>
      <c r="N57" s="74"/>
      <c r="O57" s="76"/>
      <c r="P57" s="28"/>
      <c r="Q57" s="28"/>
      <c r="R57" s="28"/>
      <c r="S57" s="28"/>
      <c r="T57" s="28"/>
      <c r="U57" s="28"/>
      <c r="V57" s="28"/>
      <c r="W57" s="28"/>
      <c r="X57" s="28"/>
      <c r="Y57" s="28"/>
      <c r="Z57" s="28"/>
      <c r="AA57" s="28"/>
      <c r="AB57" s="28"/>
      <c r="AC57" s="28"/>
    </row>
    <row r="58" spans="1:29" ht="15" customHeight="1" x14ac:dyDescent="0.25">
      <c r="A58" s="28"/>
      <c r="B58" s="71"/>
      <c r="C58" s="93" t="s">
        <v>31</v>
      </c>
      <c r="D58" s="94">
        <f>OREC_Price_Cap</f>
        <v>190</v>
      </c>
      <c r="E58" s="124" t="s">
        <v>32</v>
      </c>
      <c r="F58" s="124"/>
      <c r="G58" s="124"/>
      <c r="H58" s="230" t="str">
        <f>"Levelized OREC Price, "&amp;TEXT(Base_Year,"0000")&amp;" $/MWh"</f>
        <v>Levelized OREC Price, 2012 $/MWh</v>
      </c>
      <c r="I58" s="231"/>
      <c r="J58" s="232"/>
      <c r="K58" s="247" t="s">
        <v>92</v>
      </c>
      <c r="L58" s="248"/>
      <c r="M58" s="74"/>
      <c r="N58" s="74"/>
      <c r="O58" s="76"/>
      <c r="P58" s="28"/>
      <c r="Q58" s="243" t="s">
        <v>61</v>
      </c>
      <c r="R58" s="243" t="s">
        <v>34</v>
      </c>
      <c r="S58" s="28"/>
      <c r="T58" s="28"/>
      <c r="U58" s="28"/>
      <c r="V58" s="28"/>
      <c r="W58" s="28"/>
      <c r="X58" s="28"/>
      <c r="Y58" s="28"/>
      <c r="Z58" s="28"/>
      <c r="AA58" s="28"/>
      <c r="AB58" s="28"/>
      <c r="AC58" s="28"/>
    </row>
    <row r="59" spans="1:29" ht="16.5" customHeight="1" x14ac:dyDescent="0.25">
      <c r="A59" s="28"/>
      <c r="B59" s="71"/>
      <c r="C59" s="95" t="s">
        <v>30</v>
      </c>
      <c r="D59" s="96"/>
      <c r="E59" s="96"/>
      <c r="F59" s="96"/>
      <c r="G59" s="96"/>
      <c r="H59" s="88" t="s">
        <v>19</v>
      </c>
      <c r="I59" s="88" t="s">
        <v>20</v>
      </c>
      <c r="J59" s="88" t="s">
        <v>21</v>
      </c>
      <c r="K59" s="249" t="str">
        <f>TEXT($S$12,"0000.00")&amp;" $ MM"</f>
        <v>1900.00 $ MM</v>
      </c>
      <c r="L59" s="250"/>
      <c r="M59" s="74"/>
      <c r="N59" s="74"/>
      <c r="O59" s="76"/>
      <c r="P59" s="28"/>
      <c r="Q59" s="244"/>
      <c r="R59" s="244" t="s">
        <v>25</v>
      </c>
      <c r="S59" s="28"/>
      <c r="T59" s="28"/>
      <c r="U59" s="28"/>
      <c r="V59" s="28"/>
      <c r="W59" s="28"/>
      <c r="X59" s="28"/>
      <c r="Y59" s="28"/>
      <c r="Z59" s="28"/>
      <c r="AA59" s="28"/>
      <c r="AB59" s="28"/>
      <c r="AC59" s="28"/>
    </row>
    <row r="60" spans="1:29" x14ac:dyDescent="0.25">
      <c r="A60" s="28"/>
      <c r="B60" s="71"/>
      <c r="C60" s="68"/>
      <c r="D60" s="236" t="str">
        <f>IF(CO_Date&gt;0,CO_Date,"Target CO Date")</f>
        <v>Target CO Date</v>
      </c>
      <c r="E60" s="236"/>
      <c r="F60" s="69"/>
      <c r="G60" s="69"/>
      <c r="H60" s="103" t="str">
        <f>IF($T$6,SUMPRODUCT($L$26:$L$55,$K$26:$K$55,H$26:H$55,$E$26:$E$55)/$R60,"na  ")</f>
        <v xml:space="preserve">na  </v>
      </c>
      <c r="I60" s="104" t="str">
        <f>IF($T$6,SUMPRODUCT($L$26:$L$55,$K$26:$K$55,I$26:I$55,$E$26:$E$55)/$R60,"na  ")</f>
        <v xml:space="preserve">na  </v>
      </c>
      <c r="J60" s="105" t="str">
        <f>IF($T$6,SUMPRODUCT($L$26:$L$55,$K$26:$K$55,J$26:J$55,$E$26:$E$55)/$R60,"na  ")</f>
        <v xml:space="preserve">na  </v>
      </c>
      <c r="K60" s="245" t="str">
        <f>IF(AND($T$6,Price_Prpsl_Type=Validation!$H$23),(1+(OREC_Price_Cap-J60)/I60)*Base_Upgrade_Cost,"  na")</f>
        <v xml:space="preserve">  na</v>
      </c>
      <c r="L60" s="246"/>
      <c r="M60" s="74"/>
      <c r="N60" s="74"/>
      <c r="O60" s="76"/>
      <c r="P60" s="28"/>
      <c r="Q60" s="39">
        <v>0</v>
      </c>
      <c r="R60" s="40">
        <f>SUMPRODUCT($L$26:$L$55,$E$26:$E$55)</f>
        <v>0</v>
      </c>
      <c r="S60" s="28"/>
      <c r="T60" s="28"/>
      <c r="U60" s="28"/>
      <c r="V60" s="28"/>
      <c r="W60" s="28"/>
      <c r="X60" s="28"/>
      <c r="Y60" s="28"/>
      <c r="Z60" s="28"/>
      <c r="AA60" s="28"/>
      <c r="AB60" s="28"/>
      <c r="AC60" s="28"/>
    </row>
    <row r="61" spans="1:29" x14ac:dyDescent="0.25">
      <c r="A61" s="28"/>
      <c r="B61" s="71"/>
      <c r="C61" s="71"/>
      <c r="D61" s="74" t="str">
        <f>TEXT(Q61,"0")&amp;"-year delay"</f>
        <v>1-year delay</v>
      </c>
      <c r="E61" s="74"/>
      <c r="F61" s="74"/>
      <c r="G61" s="74"/>
      <c r="H61" s="106" t="str">
        <f>IF($T$6,SUMPRODUCT($L$27:$L$55,$K$27:$K$55,H$27:H$55,$E$26:$E$54)/$R61,"na  ")</f>
        <v xml:space="preserve">na  </v>
      </c>
      <c r="I61" s="107" t="str">
        <f>IF($T$6,SUMPRODUCT($L$27:$L$55,$K$27:$K$55,I$27:I$55,$E$26:$E$54)/$R61,"na  ")</f>
        <v xml:space="preserve">na  </v>
      </c>
      <c r="J61" s="108" t="str">
        <f>IF($T$6,SUMPRODUCT($L$27:$L$55,$K$27:$K$55,J$27:J$55,$E$26:$E$54)/$R61,"na  ")</f>
        <v xml:space="preserve">na  </v>
      </c>
      <c r="K61" s="225" t="str">
        <f>IF(AND($T$6,Price_Prpsl_Type=Validation!$H$23),(1+(OREC_Price_Cap-J61)/I61)*Base_Upgrade_Cost,"  na")</f>
        <v xml:space="preserve">  na</v>
      </c>
      <c r="L61" s="226"/>
      <c r="M61" s="74"/>
      <c r="N61" s="74"/>
      <c r="O61" s="76"/>
      <c r="P61" s="28"/>
      <c r="Q61" s="41">
        <f>Q60+1</f>
        <v>1</v>
      </c>
      <c r="R61" s="42">
        <f>SUMPRODUCT($L$27:$L$55,$E$26:$E$54)</f>
        <v>0</v>
      </c>
      <c r="S61" s="28"/>
      <c r="T61" s="28"/>
      <c r="U61" s="28"/>
      <c r="V61" s="28"/>
      <c r="W61" s="28"/>
      <c r="X61" s="28"/>
      <c r="Y61" s="28"/>
      <c r="Z61" s="28"/>
      <c r="AA61" s="28"/>
      <c r="AB61" s="28"/>
      <c r="AC61" s="28"/>
    </row>
    <row r="62" spans="1:29" x14ac:dyDescent="0.25">
      <c r="A62" s="28"/>
      <c r="B62" s="71"/>
      <c r="C62" s="71"/>
      <c r="D62" s="74" t="str">
        <f t="shared" ref="D62:D65" si="13">TEXT(Q62,"0")&amp;"-year delay"</f>
        <v>2-year delay</v>
      </c>
      <c r="E62" s="74"/>
      <c r="F62" s="74"/>
      <c r="G62" s="74"/>
      <c r="H62" s="106" t="str">
        <f>IF($T$6,SUMPRODUCT($L$28:$L$55,$K$28:$K$55,H$28:H$55,$E$26:$E$53)/$R62,"na  ")</f>
        <v xml:space="preserve">na  </v>
      </c>
      <c r="I62" s="107" t="str">
        <f t="shared" ref="I62:J62" si="14">IF($T$6,SUMPRODUCT($L$28:$L$55,$K$28:$K$55,I$28:I$55,$E$26:$E$53)/$R62,"na  ")</f>
        <v xml:space="preserve">na  </v>
      </c>
      <c r="J62" s="108" t="str">
        <f t="shared" si="14"/>
        <v xml:space="preserve">na  </v>
      </c>
      <c r="K62" s="225" t="str">
        <f>IF(AND($T$6,Price_Prpsl_Type=Validation!$H$23),(1+(OREC_Price_Cap-J62)/I62)*Base_Upgrade_Cost,"  na")</f>
        <v xml:space="preserve">  na</v>
      </c>
      <c r="L62" s="226"/>
      <c r="M62" s="74"/>
      <c r="N62" s="74"/>
      <c r="O62" s="76"/>
      <c r="P62" s="28"/>
      <c r="Q62" s="41">
        <f t="shared" ref="Q62:Q65" si="15">Q61+1</f>
        <v>2</v>
      </c>
      <c r="R62" s="42">
        <f>SUMPRODUCT($L$28:$L$55,$E$26:$E$53)</f>
        <v>0</v>
      </c>
      <c r="S62" s="28"/>
      <c r="T62" s="28"/>
      <c r="U62" s="28"/>
      <c r="V62" s="28"/>
      <c r="W62" s="28"/>
      <c r="X62" s="28"/>
      <c r="Y62" s="28"/>
      <c r="Z62" s="28"/>
      <c r="AA62" s="28"/>
      <c r="AB62" s="28"/>
      <c r="AC62" s="28"/>
    </row>
    <row r="63" spans="1:29" x14ac:dyDescent="0.25">
      <c r="A63" s="28"/>
      <c r="B63" s="71"/>
      <c r="C63" s="71"/>
      <c r="D63" s="74" t="str">
        <f t="shared" si="13"/>
        <v>3-year delay</v>
      </c>
      <c r="E63" s="74"/>
      <c r="F63" s="74"/>
      <c r="G63" s="74"/>
      <c r="H63" s="106" t="str">
        <f>IF($T$6,SUMPRODUCT($L$29:$L$55,$K$29:$K$55,H$29:H$55,$E$26:$E$52)/$R63,"na  ")</f>
        <v xml:space="preserve">na  </v>
      </c>
      <c r="I63" s="107" t="str">
        <f>IF($T$6,SUMPRODUCT($L$29:$L$55,$K$29:$K$55,I$29:I$55,$E$26:$E$52)/$R63,"na  ")</f>
        <v xml:space="preserve">na  </v>
      </c>
      <c r="J63" s="108" t="str">
        <f>IF($T$6,SUMPRODUCT($L$29:$L$55,$K$29:$K$55,J$29:J$55,$E$26:$E$52)/$R63,"na  ")</f>
        <v xml:space="preserve">na  </v>
      </c>
      <c r="K63" s="225" t="str">
        <f>IF(AND($T$6,Price_Prpsl_Type=Validation!$H$23),(1+(OREC_Price_Cap-J63)/I63)*Base_Upgrade_Cost,"  na")</f>
        <v xml:space="preserve">  na</v>
      </c>
      <c r="L63" s="226"/>
      <c r="M63" s="74"/>
      <c r="N63" s="74"/>
      <c r="O63" s="76"/>
      <c r="P63" s="28"/>
      <c r="Q63" s="41">
        <f t="shared" si="15"/>
        <v>3</v>
      </c>
      <c r="R63" s="42">
        <f>SUMPRODUCT($L$29:$L$55,$E$26:$E$52)</f>
        <v>0</v>
      </c>
      <c r="S63" s="28"/>
      <c r="T63" s="28"/>
      <c r="U63" s="28"/>
      <c r="V63" s="28"/>
      <c r="W63" s="28"/>
      <c r="X63" s="28"/>
      <c r="Y63" s="28"/>
      <c r="Z63" s="28"/>
      <c r="AA63" s="28"/>
      <c r="AB63" s="28"/>
      <c r="AC63" s="28"/>
    </row>
    <row r="64" spans="1:29" x14ac:dyDescent="0.25">
      <c r="A64" s="28"/>
      <c r="B64" s="71"/>
      <c r="C64" s="71"/>
      <c r="D64" s="74" t="str">
        <f t="shared" si="13"/>
        <v>4-year delay</v>
      </c>
      <c r="E64" s="74"/>
      <c r="F64" s="74"/>
      <c r="G64" s="74"/>
      <c r="H64" s="106" t="str">
        <f>IF($T$6,SUMPRODUCT($L$30:$L$55,$K$30:$K$55,H$30:H$55,$E$26:$E$51)/$R64,"na  ")</f>
        <v xml:space="preserve">na  </v>
      </c>
      <c r="I64" s="107" t="str">
        <f>IF($T$6,SUMPRODUCT($L$30:$L$55,$K$30:$K$55,I$30:I$55,$E$26:$E$51)/$R64,"na  ")</f>
        <v xml:space="preserve">na  </v>
      </c>
      <c r="J64" s="108" t="str">
        <f>IF($T$6,SUMPRODUCT($L$30:$L$55,$K$30:$K$55,J$30:J$55,$E$26:$E$51)/$R64,"na  ")</f>
        <v xml:space="preserve">na  </v>
      </c>
      <c r="K64" s="225" t="str">
        <f>IF(AND($T$6,Price_Prpsl_Type=Validation!$H$23),(1+(OREC_Price_Cap-J64)/I64)*Base_Upgrade_Cost,"  na")</f>
        <v xml:space="preserve">  na</v>
      </c>
      <c r="L64" s="226"/>
      <c r="M64" s="74"/>
      <c r="N64" s="74"/>
      <c r="O64" s="76"/>
      <c r="P64" s="28"/>
      <c r="Q64" s="41">
        <f t="shared" si="15"/>
        <v>4</v>
      </c>
      <c r="R64" s="42">
        <f>SUMPRODUCT($L$30:$L$55,$E$26:$E$51)</f>
        <v>0</v>
      </c>
      <c r="S64" s="28"/>
      <c r="T64" s="28"/>
      <c r="U64" s="28"/>
      <c r="V64" s="28"/>
      <c r="W64" s="28"/>
      <c r="X64" s="28"/>
      <c r="Y64" s="28"/>
      <c r="Z64" s="28"/>
      <c r="AA64" s="28"/>
      <c r="AB64" s="28"/>
      <c r="AC64" s="28"/>
    </row>
    <row r="65" spans="1:29" x14ac:dyDescent="0.25">
      <c r="A65" s="28"/>
      <c r="B65" s="71"/>
      <c r="C65" s="97"/>
      <c r="D65" s="98" t="str">
        <f t="shared" si="13"/>
        <v>5-year delay</v>
      </c>
      <c r="E65" s="98"/>
      <c r="F65" s="98"/>
      <c r="G65" s="98"/>
      <c r="H65" s="109" t="str">
        <f>IF($T$6,SUMPRODUCT($L$31:$L$55,$K$31:$K$55,H$31:H$55,$E$26:$E$50)/$R65,"na  ")</f>
        <v xml:space="preserve">na  </v>
      </c>
      <c r="I65" s="110" t="str">
        <f>IF($T$6,SUMPRODUCT($L$31:$L$55,$K$31:$K$55,I$31:I$55,$E$26:$E$50)/$R65,"na  ")</f>
        <v xml:space="preserve">na  </v>
      </c>
      <c r="J65" s="111" t="str">
        <f>IF($T$6,SUMPRODUCT($L$31:$L$55,$K$31:$K$55,J$31:J$55,$E$26:$E$50)/$R65,"na  ")</f>
        <v xml:space="preserve">na  </v>
      </c>
      <c r="K65" s="223" t="str">
        <f>IF(AND($T$6,Price_Prpsl_Type=Validation!$H$23),(1+(OREC_Price_Cap-J65)/I65)*Base_Upgrade_Cost,"  na")</f>
        <v xml:space="preserve">  na</v>
      </c>
      <c r="L65" s="224"/>
      <c r="M65" s="74"/>
      <c r="N65" s="74"/>
      <c r="O65" s="76"/>
      <c r="P65" s="28"/>
      <c r="Q65" s="43">
        <f t="shared" si="15"/>
        <v>5</v>
      </c>
      <c r="R65" s="44">
        <f>SUMPRODUCT($L$31:$L$55,$E$26:$E$50)</f>
        <v>0</v>
      </c>
      <c r="S65" s="28"/>
      <c r="T65" s="28"/>
      <c r="U65" s="28"/>
      <c r="V65" s="28"/>
      <c r="W65" s="28"/>
      <c r="X65" s="28"/>
      <c r="Y65" s="28"/>
      <c r="Z65" s="28"/>
      <c r="AA65" s="28"/>
      <c r="AB65" s="28"/>
      <c r="AC65" s="28"/>
    </row>
    <row r="66" spans="1:29" ht="9" customHeight="1" x14ac:dyDescent="0.25">
      <c r="A66" s="28"/>
      <c r="B66" s="97"/>
      <c r="C66" s="98"/>
      <c r="D66" s="98"/>
      <c r="E66" s="98"/>
      <c r="F66" s="98"/>
      <c r="G66" s="98"/>
      <c r="H66" s="98"/>
      <c r="I66" s="98"/>
      <c r="J66" s="98"/>
      <c r="K66" s="98"/>
      <c r="L66" s="98"/>
      <c r="M66" s="98"/>
      <c r="N66" s="98"/>
      <c r="O66" s="99"/>
      <c r="P66" s="28"/>
      <c r="Q66" s="28"/>
      <c r="R66" s="28"/>
      <c r="S66" s="28"/>
      <c r="T66" s="28"/>
      <c r="U66" s="28"/>
      <c r="V66" s="28"/>
      <c r="W66" s="28"/>
      <c r="X66" s="28"/>
      <c r="Y66" s="28"/>
      <c r="Z66" s="28"/>
      <c r="AA66" s="28"/>
      <c r="AB66" s="28"/>
      <c r="AC66" s="28"/>
    </row>
    <row r="67" spans="1:29" x14ac:dyDescent="0.2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row>
    <row r="68" spans="1:29" x14ac:dyDescent="0.25">
      <c r="A68" s="28"/>
      <c r="B68" s="45"/>
      <c r="C68" s="148" t="s">
        <v>35</v>
      </c>
      <c r="D68" s="46"/>
      <c r="E68" s="48"/>
      <c r="F68" s="47">
        <f>SUMPRODUCT($L$26:$L$55,$E$26:$E$55)</f>
        <v>0</v>
      </c>
      <c r="G68" s="47"/>
      <c r="H68" s="48"/>
      <c r="I68" s="48"/>
      <c r="J68" s="49"/>
      <c r="K68" s="66" t="s">
        <v>62</v>
      </c>
      <c r="L68" s="48"/>
      <c r="M68" s="48"/>
      <c r="N68" s="48"/>
      <c r="O68" s="49"/>
      <c r="P68" s="28"/>
      <c r="Q68" s="28"/>
      <c r="R68" s="28"/>
      <c r="S68" s="28"/>
      <c r="T68" s="28"/>
      <c r="U68" s="28"/>
      <c r="V68" s="28"/>
      <c r="W68" s="28"/>
      <c r="X68" s="28"/>
      <c r="Y68" s="28"/>
      <c r="Z68" s="28"/>
      <c r="AA68" s="28"/>
      <c r="AB68" s="28"/>
      <c r="AC68" s="28"/>
    </row>
    <row r="69" spans="1:29" x14ac:dyDescent="0.25">
      <c r="A69" s="28"/>
      <c r="B69" s="50"/>
      <c r="C69" s="149" t="s">
        <v>36</v>
      </c>
      <c r="D69" s="51"/>
      <c r="E69" s="51"/>
      <c r="F69" s="51"/>
      <c r="G69" s="51"/>
      <c r="H69" s="52">
        <f>SUMPRODUCT($L$26:$L$55,$E$26:$E$55,$K$26:$K$55,H$26:H$55)</f>
        <v>0</v>
      </c>
      <c r="I69" s="52">
        <f t="shared" ref="I69:J69" si="16">SUMPRODUCT($L$26:$L$55,$E$26:$E$55,$K$26:$K$55,I$26:I$55)</f>
        <v>0</v>
      </c>
      <c r="J69" s="54">
        <f t="shared" si="16"/>
        <v>0</v>
      </c>
      <c r="K69" s="50"/>
      <c r="L69" s="53"/>
      <c r="M69" s="52">
        <f>SUMPRODUCT($L$26:$L$55,$E$26:$E$55,M$26:M$55)</f>
        <v>0</v>
      </c>
      <c r="N69" s="52">
        <f>SUMPRODUCT($L$26:$L$55,$E$26:$E$55,N$26:N$55)</f>
        <v>0</v>
      </c>
      <c r="O69" s="54"/>
      <c r="P69" s="28"/>
      <c r="Q69" s="28"/>
      <c r="R69" s="28"/>
      <c r="S69" s="28"/>
      <c r="T69" s="28"/>
      <c r="U69" s="28"/>
      <c r="V69" s="28"/>
      <c r="W69" s="28"/>
      <c r="X69" s="28"/>
      <c r="Y69" s="28"/>
      <c r="Z69" s="28"/>
      <c r="AA69" s="28"/>
      <c r="AB69" s="28"/>
      <c r="AC69" s="28"/>
    </row>
    <row r="70" spans="1:29" x14ac:dyDescent="0.25">
      <c r="A70" s="28"/>
      <c r="B70" s="50"/>
      <c r="C70" s="150" t="str">
        <f>"Levelized "&amp;TEXT(Base_Year,"0000")&amp;" $/MWh"</f>
        <v>Levelized 2012 $/MWh</v>
      </c>
      <c r="D70" s="53"/>
      <c r="E70" s="55"/>
      <c r="F70" s="55"/>
      <c r="G70" s="55"/>
      <c r="H70" s="56" t="e">
        <f>H69/$F$68</f>
        <v>#DIV/0!</v>
      </c>
      <c r="I70" s="57" t="e">
        <f>I69/$F$68</f>
        <v>#DIV/0!</v>
      </c>
      <c r="J70" s="64" t="e">
        <f>J69/$F$68</f>
        <v>#DIV/0!</v>
      </c>
      <c r="K70" s="50"/>
      <c r="L70" s="53"/>
      <c r="M70" s="53"/>
      <c r="N70" s="53"/>
      <c r="O70" s="58"/>
      <c r="P70" s="28"/>
      <c r="Q70" s="28"/>
      <c r="R70" s="28"/>
      <c r="S70" s="28"/>
      <c r="T70" s="28"/>
      <c r="U70" s="28"/>
      <c r="V70" s="28"/>
      <c r="W70" s="28"/>
      <c r="X70" s="28"/>
      <c r="Y70" s="28"/>
      <c r="Z70" s="28"/>
      <c r="AA70" s="28"/>
      <c r="AB70" s="28"/>
      <c r="AC70" s="28"/>
    </row>
    <row r="71" spans="1:29" x14ac:dyDescent="0.25">
      <c r="A71" s="28"/>
      <c r="B71" s="59"/>
      <c r="C71" s="60"/>
      <c r="D71" s="60"/>
      <c r="E71" s="61"/>
      <c r="F71" s="61"/>
      <c r="G71" s="61"/>
      <c r="H71" s="62"/>
      <c r="I71" s="62"/>
      <c r="J71" s="65"/>
      <c r="K71" s="59"/>
      <c r="L71" s="60"/>
      <c r="M71" s="60"/>
      <c r="N71" s="60"/>
      <c r="O71" s="63"/>
      <c r="P71" s="28"/>
      <c r="Q71" s="28"/>
      <c r="R71" s="28"/>
      <c r="S71" s="28"/>
      <c r="T71" s="28"/>
      <c r="U71" s="28"/>
      <c r="V71" s="28"/>
      <c r="W71" s="28"/>
      <c r="X71" s="28"/>
      <c r="Y71" s="28"/>
      <c r="Z71" s="28"/>
      <c r="AA71" s="28"/>
      <c r="AB71" s="28"/>
      <c r="AC71" s="28"/>
    </row>
    <row r="72" spans="1:29" x14ac:dyDescent="0.2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row>
    <row r="73" spans="1:29" x14ac:dyDescent="0.2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row>
    <row r="74" spans="1:29"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row>
    <row r="75" spans="1:29"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row>
    <row r="76" spans="1:29"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row>
    <row r="77" spans="1:29" x14ac:dyDescent="0.2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row>
    <row r="78" spans="1:29"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row>
    <row r="79" spans="1:29"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row>
    <row r="80" spans="1:29"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row>
    <row r="81" spans="1:29"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row>
    <row r="82" spans="1:29"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row>
    <row r="83" spans="1:29"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row>
    <row r="84" spans="1:29"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row>
    <row r="85" spans="1:29"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row>
    <row r="86" spans="1:29"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row>
    <row r="87" spans="1:29"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row>
    <row r="88" spans="1:29"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row>
    <row r="89" spans="1:29"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row>
    <row r="90" spans="1:29"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row>
    <row r="91" spans="1:29"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row>
    <row r="92" spans="1:29"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row>
  </sheetData>
  <sheetProtection password="E831" sheet="1" objects="1" scenarios="1"/>
  <mergeCells count="27">
    <mergeCell ref="F15:H15"/>
    <mergeCell ref="D24:D25"/>
    <mergeCell ref="E24:E25"/>
    <mergeCell ref="H24:J24"/>
    <mergeCell ref="Q58:Q59"/>
    <mergeCell ref="R58:R59"/>
    <mergeCell ref="K60:L60"/>
    <mergeCell ref="K61:L61"/>
    <mergeCell ref="K62:L62"/>
    <mergeCell ref="K58:L58"/>
    <mergeCell ref="K59:L59"/>
    <mergeCell ref="C3:N3"/>
    <mergeCell ref="C4:N4"/>
    <mergeCell ref="K65:L65"/>
    <mergeCell ref="K63:L63"/>
    <mergeCell ref="K64:L64"/>
    <mergeCell ref="M24:N24"/>
    <mergeCell ref="K24:K25"/>
    <mergeCell ref="L24:L25"/>
    <mergeCell ref="H58:J58"/>
    <mergeCell ref="C24:C25"/>
    <mergeCell ref="F7:J7"/>
    <mergeCell ref="F8:J8"/>
    <mergeCell ref="D60:E60"/>
    <mergeCell ref="F10:H10"/>
    <mergeCell ref="F12:H12"/>
    <mergeCell ref="F14:J14"/>
  </mergeCells>
  <conditionalFormatting sqref="M26:M49 M54:M55">
    <cfRule type="expression" dxfId="17" priority="25">
      <formula>(M26&gt;OREC_Price_Cap)</formula>
    </cfRule>
  </conditionalFormatting>
  <conditionalFormatting sqref="N26:O49 N56 N54:O55">
    <cfRule type="expression" dxfId="16" priority="24">
      <formula>(N26&gt;OREC_Price_Cap)</formula>
    </cfRule>
  </conditionalFormatting>
  <conditionalFormatting sqref="H60:H65">
    <cfRule type="expression" dxfId="15" priority="22">
      <formula>AND(ISNUMBER(H60),H60&gt;OREC_Price_Cap)</formula>
    </cfRule>
  </conditionalFormatting>
  <conditionalFormatting sqref="J70">
    <cfRule type="expression" dxfId="14" priority="21">
      <formula>(J70&gt;OREC_Price_Cap)</formula>
    </cfRule>
  </conditionalFormatting>
  <conditionalFormatting sqref="H70">
    <cfRule type="expression" dxfId="13" priority="20">
      <formula>(H70&gt;OREC_Price_Cap)</formula>
    </cfRule>
  </conditionalFormatting>
  <conditionalFormatting sqref="K10">
    <cfRule type="expression" dxfId="12" priority="19">
      <formula>($R$6&lt;$S$6)</formula>
    </cfRule>
  </conditionalFormatting>
  <conditionalFormatting sqref="Q7:Q49 Q54:Q55">
    <cfRule type="expression" dxfId="11" priority="18">
      <formula>(Q7="OK")</formula>
    </cfRule>
  </conditionalFormatting>
  <conditionalFormatting sqref="F26:F27 F54:F55">
    <cfRule type="expression" dxfId="10" priority="13">
      <formula>NOT(R26)</formula>
    </cfRule>
  </conditionalFormatting>
  <conditionalFormatting sqref="I60:J65">
    <cfRule type="expression" dxfId="9" priority="10">
      <formula>AND(ISNUMBER(I60),I60&gt;OREC_Price_Cap)</formula>
    </cfRule>
  </conditionalFormatting>
  <conditionalFormatting sqref="M50:M53">
    <cfRule type="expression" dxfId="8" priority="9">
      <formula>(M50&gt;OREC_Price_Cap)</formula>
    </cfRule>
  </conditionalFormatting>
  <conditionalFormatting sqref="N50:O53">
    <cfRule type="expression" dxfId="7" priority="8">
      <formula>(N50&gt;OREC_Price_Cap)</formula>
    </cfRule>
  </conditionalFormatting>
  <conditionalFormatting sqref="Q50:Q53">
    <cfRule type="expression" dxfId="6" priority="7">
      <formula>(Q50="OK")</formula>
    </cfRule>
  </conditionalFormatting>
  <conditionalFormatting sqref="F52">
    <cfRule type="expression" dxfId="5" priority="3">
      <formula>NOT(R52)</formula>
    </cfRule>
  </conditionalFormatting>
  <conditionalFormatting sqref="F53">
    <cfRule type="expression" dxfId="4" priority="2">
      <formula>NOT(R53)</formula>
    </cfRule>
  </conditionalFormatting>
  <conditionalFormatting sqref="F28:F51">
    <cfRule type="expression" dxfId="3" priority="1">
      <formula>NOT(R28)</formula>
    </cfRule>
  </conditionalFormatting>
  <dataValidations disablePrompts="1" xWindow="287" yWindow="395" count="7">
    <dataValidation allowBlank="1" showInputMessage="1" showErrorMessage="1" promptTitle="Applicant Name" prompt="Enter full name of applicant for identification" sqref="F7"/>
    <dataValidation allowBlank="1" showInputMessage="1" showErrorMessage="1" promptTitle="Project Name" prompt="Enter name of offshore wind project" sqref="F8:J8"/>
    <dataValidation allowBlank="1" showInputMessage="1" showErrorMessage="1" promptTitle="Price Proposal Name" prompt="Enter unique name for price proposal covered by this form." sqref="F14"/>
    <dataValidation allowBlank="1" showInputMessage="1" showErrorMessage="1" errorTitle="Out of Range" error="Enter Part 1 OREC price between $1/MWh and $500/MWh." promptTitle="Part 1 OREC Price" prompt="Enter Part 1 OREC Price in $/MWh for each calendar year of proposed OREC term plus an additional 5 years." sqref="F26:F55"/>
    <dataValidation type="list" allowBlank="1" showInputMessage="1" showErrorMessage="1" errorTitle="CO Date out of range" error="Select CO Date from drop-down list" promptTitle="Target CO Date:" prompt="Select target CO date from drop-down list." sqref="F12:H12">
      <formula1>CO_Date_List</formula1>
    </dataValidation>
    <dataValidation type="list" allowBlank="1" showInputMessage="1" showErrorMessage="1" errorTitle="Unacceptable Entry" error="Select lease site from drop-down list" promptTitle="Lease Site" prompt="Select Maryland Offshore Wind lease area from drop-down list" sqref="F10:H10">
      <formula1>Lease_Site_List</formula1>
    </dataValidation>
    <dataValidation type="list" allowBlank="1" showInputMessage="1" showErrorMessage="1" errorTitle="Unacceptable Entry" error="Select price proposal type from drop-down list" promptTitle="Price Proposal Type" prompt="Select price proposal type from drop-down list." sqref="F15:H15">
      <formula1>Price_Type_List</formula1>
    </dataValidation>
  </dataValidations>
  <pageMargins left="1" right="0.75" top="0.75" bottom="0.75" header="0.25" footer="0.25"/>
  <pageSetup scale="72" orientation="portrait" r:id="rId1"/>
  <headerFooter>
    <oddHeader>&amp;RPrinted:  &amp;D   &amp;T</oddHeader>
    <oddFooter>&amp;L&amp;8&amp;Z&amp;F    &amp;A</oddFooter>
  </headerFooter>
  <extLst>
    <ext xmlns:x14="http://schemas.microsoft.com/office/spreadsheetml/2009/9/main" uri="{78C0D931-6437-407d-A8EE-F0AAD7539E65}">
      <x14:conditionalFormattings>
        <x14:conditionalFormatting xmlns:xm="http://schemas.microsoft.com/office/excel/2006/main">
          <x14:cfRule type="expression" priority="44" id="{AEA9B84F-98A7-4779-A9C9-B074341F5247}">
            <xm:f>(MAX($J$61:$J$65)&gt;Validation!$H$8)</xm:f>
            <x14:dxf>
              <font>
                <color theme="9" tint="-0.24994659260841701"/>
              </font>
            </x14:dxf>
          </x14:cfRule>
          <xm:sqref>K12</xm:sqref>
        </x14:conditionalFormatting>
        <x14:conditionalFormatting xmlns:xm="http://schemas.microsoft.com/office/excel/2006/main">
          <x14:cfRule type="expression" priority="45" id="{12FBED6A-9ABB-4477-8373-1661CF808D5E}">
            <xm:f>($J$70&gt;Validation!$H$8)</xm:f>
            <x14:dxf>
              <font>
                <color rgb="FFFF0000"/>
              </font>
            </x14:dxf>
          </x14:cfRule>
          <xm:sqref>K11</xm:sqref>
        </x14:conditionalFormatting>
        <x14:conditionalFormatting xmlns:xm="http://schemas.microsoft.com/office/excel/2006/main">
          <x14:cfRule type="expression" priority="50" id="{899D0CB6-752F-4C0B-A124-07557755FD8E}">
            <xm:f>($F$15=Validation!$H$22)</xm:f>
            <x14:dxf>
              <fill>
                <patternFill patternType="lightUp"/>
              </fill>
            </x14:dxf>
          </x14:cfRule>
          <xm:sqref>F20</xm:sqref>
        </x14:conditionalFormatting>
      </x14:conditionalFormattings>
    </ext>
    <ext xmlns:x14="http://schemas.microsoft.com/office/spreadsheetml/2009/9/main" uri="{CCE6A557-97BC-4b89-ADB6-D9C93CAAB3DF}">
      <x14:dataValidations xmlns:xm="http://schemas.microsoft.com/office/excel/2006/main" disablePrompts="1" xWindow="287" yWindow="395" count="3">
        <x14:dataValidation type="decimal" allowBlank="1" showInputMessage="1" showErrorMessage="1" errorTitle="Out of Range" error="Enter capacity between 20 MW and 600 MW" promptTitle="Installed Capacity" prompt="Enter Installed Capacity in MW.  Must be between 20 MW and 600 MW.">
          <x14:formula1>
            <xm:f>Validation!$F$41</xm:f>
          </x14:formula1>
          <x14:formula2>
            <xm:f>Validation!$F$42</xm:f>
          </x14:formula2>
          <xm:sqref>F9</xm:sqref>
        </x14:dataValidation>
        <x14:dataValidation type="whole" allowBlank="1" showInputMessage="1" showErrorMessage="1" errorTitle="Out of Range" error="Enter integer price term from 1 to 20 years" promptTitle="OREC Price Term" prompt="Enter proposed OREC price term in integral years (up to 20 years).">
          <x14:formula1>
            <xm:f>Validation!$G$41</xm:f>
          </x14:formula1>
          <x14:formula2>
            <xm:f>Validation!$G$42</xm:f>
          </x14:formula2>
          <xm:sqref>F16</xm:sqref>
        </x14:dataValidation>
        <x14:dataValidation type="decimal" allowBlank="1" showInputMessage="1" showErrorMessage="1" errorTitle="Out of Range" error="Enter Part 2 OREC price between $1/MWh and $200/MWh" promptTitle="Part 2 OREC Price" prompt="Specify Part 2 price in level nominal dollars per MWh over the OREC Price Term.  This price will be adjusted based on the ratio of actual transmission upgrade cost to the Base Upgrade Cost, subject to cap on Levelized OREC Price.">
          <x14:formula1>
            <xm:f>Validation!$I$41</xm:f>
          </x14:formula1>
          <x14:formula2>
            <xm:f>Validation!$I$42</xm:f>
          </x14:formula2>
          <xm:sqref>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5"/>
  <sheetViews>
    <sheetView workbookViewId="0"/>
  </sheetViews>
  <sheetFormatPr defaultRowHeight="15" x14ac:dyDescent="0.25"/>
  <cols>
    <col min="1" max="1" width="2.28515625" customWidth="1"/>
    <col min="2" max="2" width="5" customWidth="1"/>
    <col min="3" max="3" width="7.5703125" customWidth="1"/>
    <col min="4" max="4" width="11.85546875" customWidth="1"/>
    <col min="5" max="6" width="10" customWidth="1"/>
    <col min="7" max="7" width="12.7109375" customWidth="1"/>
    <col min="8" max="8" width="10.7109375" customWidth="1"/>
    <col min="9" max="9" width="11.7109375" customWidth="1"/>
    <col min="10" max="10" width="6.28515625" customWidth="1"/>
    <col min="11" max="12" width="2.7109375" customWidth="1"/>
    <col min="14" max="14" width="18" customWidth="1"/>
    <col min="15" max="15" width="10" customWidth="1"/>
  </cols>
  <sheetData>
    <row r="1" spans="1:25" ht="8.25" customHeight="1" x14ac:dyDescent="0.25">
      <c r="A1" s="28"/>
      <c r="B1" s="28"/>
      <c r="C1" s="28"/>
      <c r="D1" s="28"/>
      <c r="E1" s="28"/>
      <c r="F1" s="28"/>
      <c r="G1" s="28"/>
      <c r="H1" s="28"/>
      <c r="I1" s="28"/>
      <c r="J1" s="28"/>
      <c r="K1" s="28"/>
      <c r="L1" s="28"/>
      <c r="M1" s="28"/>
      <c r="N1" s="28"/>
      <c r="O1" s="28"/>
      <c r="P1" s="28"/>
      <c r="Q1" s="28"/>
      <c r="R1" s="28"/>
      <c r="S1" s="28"/>
      <c r="T1" s="28"/>
      <c r="U1" s="28"/>
      <c r="V1" s="28"/>
      <c r="W1" s="28"/>
      <c r="X1" s="28"/>
      <c r="Y1" s="28"/>
    </row>
    <row r="2" spans="1:25" ht="18.75" x14ac:dyDescent="0.3">
      <c r="A2" s="28"/>
      <c r="B2" s="215" t="s">
        <v>0</v>
      </c>
      <c r="C2" s="216"/>
      <c r="D2" s="216"/>
      <c r="E2" s="216"/>
      <c r="F2" s="216"/>
      <c r="G2" s="216"/>
      <c r="H2" s="216"/>
      <c r="I2" s="216"/>
      <c r="J2" s="216"/>
      <c r="K2" s="216"/>
      <c r="L2" s="217"/>
      <c r="M2" s="28"/>
      <c r="N2" s="28"/>
      <c r="O2" s="28"/>
      <c r="P2" s="28"/>
      <c r="Q2" s="28"/>
      <c r="R2" s="28"/>
      <c r="S2" s="28"/>
      <c r="T2" s="28"/>
      <c r="U2" s="28"/>
      <c r="V2" s="28"/>
      <c r="W2" s="28"/>
      <c r="X2" s="28"/>
      <c r="Y2" s="28"/>
    </row>
    <row r="3" spans="1:25" ht="18.75" x14ac:dyDescent="0.3">
      <c r="A3" s="28"/>
      <c r="B3" s="218" t="s">
        <v>38</v>
      </c>
      <c r="C3" s="219"/>
      <c r="D3" s="219"/>
      <c r="E3" s="219"/>
      <c r="F3" s="219"/>
      <c r="G3" s="219"/>
      <c r="H3" s="219"/>
      <c r="I3" s="219"/>
      <c r="J3" s="219"/>
      <c r="K3" s="219"/>
      <c r="L3" s="220"/>
      <c r="M3" s="28"/>
      <c r="N3" s="28"/>
      <c r="O3" s="28"/>
      <c r="P3" s="28"/>
      <c r="Q3" s="28"/>
      <c r="R3" s="28"/>
      <c r="S3" s="28"/>
      <c r="T3" s="28"/>
      <c r="U3" s="28"/>
      <c r="V3" s="28"/>
      <c r="W3" s="28"/>
      <c r="X3" s="28"/>
      <c r="Y3" s="28"/>
    </row>
    <row r="4" spans="1:25" x14ac:dyDescent="0.25">
      <c r="A4" s="28"/>
      <c r="B4" s="1"/>
      <c r="C4" s="7"/>
      <c r="D4" s="5"/>
      <c r="E4" s="5"/>
      <c r="F4" s="188" t="str">
        <f>Form_Version</f>
        <v>Version 2.0</v>
      </c>
      <c r="G4" s="5"/>
      <c r="H4" s="19">
        <f>Form_Date</f>
        <v>42118</v>
      </c>
      <c r="I4" s="19"/>
      <c r="J4" s="5"/>
      <c r="K4" s="5"/>
      <c r="L4" s="2"/>
      <c r="M4" s="28"/>
      <c r="N4" s="28"/>
      <c r="O4" s="28"/>
      <c r="P4" s="28"/>
      <c r="Q4" s="28"/>
      <c r="R4" s="28"/>
      <c r="S4" s="28"/>
      <c r="T4" s="28"/>
      <c r="U4" s="28"/>
      <c r="V4" s="28"/>
      <c r="W4" s="28"/>
      <c r="X4" s="28"/>
      <c r="Y4" s="28"/>
    </row>
    <row r="5" spans="1:25" x14ac:dyDescent="0.25">
      <c r="A5" s="28"/>
      <c r="B5" s="1"/>
      <c r="C5" s="5"/>
      <c r="D5" s="5"/>
      <c r="E5" s="5"/>
      <c r="F5" s="5"/>
      <c r="G5" s="5"/>
      <c r="H5" s="5"/>
      <c r="I5" s="5"/>
      <c r="J5" s="5"/>
      <c r="K5" s="5"/>
      <c r="L5" s="2"/>
      <c r="M5" s="28"/>
      <c r="N5" s="28"/>
      <c r="O5" s="28"/>
      <c r="P5" s="28"/>
      <c r="Q5" s="28"/>
      <c r="R5" s="28"/>
      <c r="S5" s="28"/>
      <c r="T5" s="28"/>
      <c r="U5" s="28"/>
      <c r="V5" s="28"/>
      <c r="W5" s="28"/>
      <c r="X5" s="28"/>
      <c r="Y5" s="28"/>
    </row>
    <row r="6" spans="1:25" x14ac:dyDescent="0.25">
      <c r="A6" s="28"/>
      <c r="B6" s="20"/>
      <c r="C6" s="5"/>
      <c r="D6" s="5"/>
      <c r="E6" s="5"/>
      <c r="F6" s="5"/>
      <c r="L6" s="2"/>
      <c r="M6" s="28"/>
      <c r="N6" s="28"/>
      <c r="O6" s="28"/>
      <c r="P6" s="28"/>
      <c r="Q6" s="28"/>
      <c r="R6" s="28"/>
      <c r="S6" s="28"/>
      <c r="T6" s="28"/>
      <c r="U6" s="28"/>
      <c r="V6" s="28"/>
      <c r="W6" s="28"/>
      <c r="X6" s="28"/>
      <c r="Y6" s="28"/>
    </row>
    <row r="7" spans="1:25" x14ac:dyDescent="0.25">
      <c r="A7" s="28"/>
      <c r="B7" s="1"/>
      <c r="C7" s="160" t="s">
        <v>71</v>
      </c>
      <c r="L7" s="2"/>
      <c r="M7" s="28"/>
      <c r="N7" s="28"/>
      <c r="O7" s="28"/>
      <c r="P7" s="28"/>
      <c r="Q7" s="28"/>
      <c r="R7" s="28"/>
      <c r="S7" s="28"/>
      <c r="T7" s="28"/>
      <c r="U7" s="28"/>
      <c r="V7" s="28"/>
      <c r="W7" s="28"/>
      <c r="X7" s="28"/>
      <c r="Y7" s="28"/>
    </row>
    <row r="8" spans="1:25" x14ac:dyDescent="0.25">
      <c r="A8" s="28"/>
      <c r="B8" s="1"/>
      <c r="D8" s="5" t="s">
        <v>24</v>
      </c>
      <c r="H8" s="21">
        <v>190</v>
      </c>
      <c r="I8" s="22" t="str">
        <f>"/MWh ("&amp;TEXT(Base_Year,"0000")&amp;" $)"</f>
        <v>/MWh (2012 $)</v>
      </c>
      <c r="L8" s="2"/>
      <c r="M8" s="28"/>
      <c r="N8" s="28"/>
      <c r="O8" s="28"/>
      <c r="P8" s="28"/>
      <c r="Q8" s="28"/>
      <c r="R8" s="28"/>
      <c r="S8" s="28"/>
      <c r="T8" s="28"/>
      <c r="U8" s="28"/>
      <c r="V8" s="28"/>
      <c r="W8" s="28"/>
      <c r="X8" s="28"/>
      <c r="Y8" s="28"/>
    </row>
    <row r="9" spans="1:25" x14ac:dyDescent="0.25">
      <c r="A9" s="28"/>
      <c r="B9" s="20"/>
      <c r="D9" s="5" t="s">
        <v>47</v>
      </c>
      <c r="H9" s="23">
        <v>2012</v>
      </c>
      <c r="I9" s="5"/>
      <c r="L9" s="2"/>
      <c r="M9" s="28"/>
      <c r="N9" s="32" t="s">
        <v>69</v>
      </c>
      <c r="O9" s="28"/>
      <c r="P9" s="28"/>
      <c r="Q9" s="28"/>
      <c r="R9" s="28"/>
      <c r="S9" s="28"/>
      <c r="T9" s="28"/>
      <c r="U9" s="28"/>
      <c r="V9" s="28"/>
      <c r="W9" s="28"/>
      <c r="X9" s="28"/>
      <c r="Y9" s="28"/>
    </row>
    <row r="10" spans="1:25" x14ac:dyDescent="0.25">
      <c r="A10" s="28"/>
      <c r="B10" s="1"/>
      <c r="D10" t="s">
        <v>84</v>
      </c>
      <c r="F10" s="183" t="str">
        <f>"Price Base to "&amp;TEXT(YEAR(Earliest_CO_Date)+(MONTH(Earliest_CO_Date)-1)/12,"0000.00")</f>
        <v>Price Base to 2017.00</v>
      </c>
      <c r="H10" s="214">
        <f>1.0842</f>
        <v>1.0842000000000001</v>
      </c>
      <c r="I10" s="5"/>
      <c r="L10" s="2"/>
      <c r="M10" s="28"/>
      <c r="N10" s="156">
        <f t="shared" ref="N10:N41" si="0">IF(DATE(O10,P10,1)&gt;Latest_CO_Date,N9,DATE(O10,P10,1))</f>
        <v>42736</v>
      </c>
      <c r="O10" s="154">
        <f>YEAR(Earliest_CO_Date)</f>
        <v>2017</v>
      </c>
      <c r="P10" s="154">
        <f>MONTH(Earliest_CO_Date)</f>
        <v>1</v>
      </c>
      <c r="Q10" s="28"/>
      <c r="R10" s="28"/>
      <c r="S10" s="28"/>
      <c r="T10" s="28"/>
      <c r="U10" s="28"/>
      <c r="V10" s="28"/>
      <c r="W10" s="28"/>
      <c r="X10" s="28"/>
      <c r="Y10" s="28"/>
    </row>
    <row r="11" spans="1:25" x14ac:dyDescent="0.25">
      <c r="A11" s="28"/>
      <c r="B11" s="1"/>
      <c r="D11" s="8" t="s">
        <v>85</v>
      </c>
      <c r="F11" s="181" t="str">
        <f>TEXT(YEAR(Earliest_CO_Date)+1,"0000")&amp;" to "</f>
        <v xml:space="preserve">2018 to </v>
      </c>
      <c r="G11" s="180">
        <v>2020</v>
      </c>
      <c r="H11" s="182">
        <v>1.8759999999999999E-2</v>
      </c>
      <c r="I11" s="5"/>
      <c r="L11" s="2"/>
      <c r="M11" s="28"/>
      <c r="N11" s="156">
        <f t="shared" si="0"/>
        <v>42767</v>
      </c>
      <c r="O11" s="155">
        <f>IF(P10=12,O10+1,O10)</f>
        <v>2017</v>
      </c>
      <c r="P11" s="155">
        <f>IF(P10=12,1,P10+1)</f>
        <v>2</v>
      </c>
      <c r="Q11" s="28"/>
      <c r="R11" s="28"/>
      <c r="S11" s="28"/>
      <c r="T11" s="28"/>
      <c r="U11" s="28"/>
      <c r="V11" s="28"/>
      <c r="W11" s="28"/>
      <c r="X11" s="28"/>
      <c r="Y11" s="28"/>
    </row>
    <row r="12" spans="1:25" x14ac:dyDescent="0.25">
      <c r="A12" s="28"/>
      <c r="B12" s="1"/>
      <c r="F12" s="181" t="str">
        <f>TEXT(G11+1,"0000")&amp;" to "</f>
        <v xml:space="preserve">2021 to </v>
      </c>
      <c r="G12" s="180">
        <v>2030</v>
      </c>
      <c r="H12" s="182">
        <v>1.8759999999999999E-2</v>
      </c>
      <c r="I12" s="5"/>
      <c r="L12" s="2"/>
      <c r="M12" s="28"/>
      <c r="N12" s="156">
        <f t="shared" si="0"/>
        <v>42795</v>
      </c>
      <c r="O12" s="155">
        <f t="shared" ref="O12:O45" si="1">IF(P11=12,O11+1,O11)</f>
        <v>2017</v>
      </c>
      <c r="P12" s="155">
        <f t="shared" ref="P12:P75" si="2">IF(P11=12,1,P11+1)</f>
        <v>3</v>
      </c>
      <c r="Q12" s="28"/>
      <c r="R12" s="28"/>
      <c r="S12" s="28"/>
      <c r="T12" s="28"/>
      <c r="U12" s="28"/>
      <c r="V12" s="28"/>
      <c r="W12" s="28"/>
      <c r="X12" s="28"/>
      <c r="Y12" s="28"/>
    </row>
    <row r="13" spans="1:25" x14ac:dyDescent="0.25">
      <c r="A13" s="28"/>
      <c r="B13" s="1"/>
      <c r="F13" s="181" t="str">
        <f>TEXT(G12+1,"0000")&amp;" to "</f>
        <v xml:space="preserve">2031 to </v>
      </c>
      <c r="G13" s="180">
        <v>2050</v>
      </c>
      <c r="H13" s="182">
        <v>1.8759999999999999E-2</v>
      </c>
      <c r="I13" s="5"/>
      <c r="L13" s="2"/>
      <c r="M13" s="28"/>
      <c r="N13" s="156">
        <f t="shared" si="0"/>
        <v>42826</v>
      </c>
      <c r="O13" s="155">
        <f t="shared" si="1"/>
        <v>2017</v>
      </c>
      <c r="P13" s="155">
        <f t="shared" si="2"/>
        <v>4</v>
      </c>
      <c r="Q13" s="28"/>
      <c r="R13" s="28"/>
      <c r="S13" s="28"/>
      <c r="T13" s="28"/>
      <c r="U13" s="28"/>
      <c r="V13" s="28"/>
      <c r="W13" s="28"/>
      <c r="X13" s="28"/>
      <c r="Y13" s="28"/>
    </row>
    <row r="14" spans="1:25" x14ac:dyDescent="0.25">
      <c r="A14" s="28"/>
      <c r="B14" s="1"/>
      <c r="D14" s="5" t="s">
        <v>45</v>
      </c>
      <c r="H14" s="182">
        <v>2.6100000000000002E-2</v>
      </c>
      <c r="L14" s="2"/>
      <c r="M14" s="28"/>
      <c r="N14" s="156">
        <f t="shared" si="0"/>
        <v>42856</v>
      </c>
      <c r="O14" s="155">
        <f t="shared" si="1"/>
        <v>2017</v>
      </c>
      <c r="P14" s="155">
        <f t="shared" si="2"/>
        <v>5</v>
      </c>
      <c r="Q14" s="28"/>
      <c r="R14" s="28"/>
      <c r="S14" s="28"/>
      <c r="T14" s="28"/>
      <c r="U14" s="28"/>
      <c r="V14" s="28"/>
      <c r="W14" s="28"/>
      <c r="X14" s="28"/>
      <c r="Y14" s="28"/>
    </row>
    <row r="15" spans="1:25" x14ac:dyDescent="0.25">
      <c r="A15" s="28"/>
      <c r="B15" s="1"/>
      <c r="D15" s="5" t="s">
        <v>33</v>
      </c>
      <c r="H15" s="182">
        <f>(1+LTC_T_Bond_Rate)/(1+Inflation_Rate)-1</f>
        <v>7.2048372531314797E-3</v>
      </c>
      <c r="L15" s="9"/>
      <c r="M15" s="28"/>
      <c r="N15" s="156">
        <f t="shared" si="0"/>
        <v>42887</v>
      </c>
      <c r="O15" s="155">
        <f t="shared" si="1"/>
        <v>2017</v>
      </c>
      <c r="P15" s="155">
        <f t="shared" si="2"/>
        <v>6</v>
      </c>
      <c r="Q15" s="28"/>
      <c r="R15" s="28"/>
      <c r="S15" s="28"/>
      <c r="T15" s="28"/>
      <c r="U15" s="28"/>
      <c r="V15" s="28"/>
      <c r="W15" s="28"/>
      <c r="X15" s="28"/>
      <c r="Y15" s="28"/>
    </row>
    <row r="16" spans="1:25" x14ac:dyDescent="0.25">
      <c r="A16" s="28"/>
      <c r="B16" s="1"/>
      <c r="L16" s="120"/>
      <c r="M16" s="28"/>
      <c r="N16" s="156">
        <f t="shared" si="0"/>
        <v>42917</v>
      </c>
      <c r="O16" s="155">
        <f t="shared" si="1"/>
        <v>2017</v>
      </c>
      <c r="P16" s="155">
        <f t="shared" si="2"/>
        <v>7</v>
      </c>
      <c r="Q16" s="28"/>
      <c r="R16" s="28"/>
      <c r="S16" s="28"/>
      <c r="T16" s="28"/>
      <c r="U16" s="28"/>
      <c r="V16" s="28"/>
      <c r="W16" s="28"/>
      <c r="X16" s="28"/>
      <c r="Y16" s="28"/>
    </row>
    <row r="17" spans="1:25" x14ac:dyDescent="0.25">
      <c r="A17" s="28"/>
      <c r="B17" s="1"/>
      <c r="C17" s="160" t="s">
        <v>69</v>
      </c>
      <c r="L17" s="121"/>
      <c r="M17" s="28"/>
      <c r="N17" s="156">
        <f t="shared" si="0"/>
        <v>42948</v>
      </c>
      <c r="O17" s="155">
        <f t="shared" si="1"/>
        <v>2017</v>
      </c>
      <c r="P17" s="155">
        <f t="shared" si="2"/>
        <v>8</v>
      </c>
      <c r="Q17" s="28"/>
      <c r="R17" s="28"/>
      <c r="S17" s="28"/>
      <c r="T17" s="28"/>
      <c r="U17" s="28"/>
      <c r="V17" s="28"/>
      <c r="W17" s="28"/>
      <c r="X17" s="28"/>
      <c r="Y17" s="28"/>
    </row>
    <row r="18" spans="1:25" x14ac:dyDescent="0.25">
      <c r="A18" s="28"/>
      <c r="B18" s="1"/>
      <c r="C18" s="5"/>
      <c r="D18" t="s">
        <v>48</v>
      </c>
      <c r="E18" s="5"/>
      <c r="H18" s="161">
        <v>42736</v>
      </c>
      <c r="L18" s="121"/>
      <c r="M18" s="28"/>
      <c r="N18" s="156">
        <f t="shared" si="0"/>
        <v>42979</v>
      </c>
      <c r="O18" s="155">
        <f t="shared" si="1"/>
        <v>2017</v>
      </c>
      <c r="P18" s="155">
        <f t="shared" si="2"/>
        <v>9</v>
      </c>
      <c r="Q18" s="28"/>
      <c r="R18" s="28"/>
      <c r="S18" s="28"/>
      <c r="T18" s="28"/>
      <c r="U18" s="28"/>
      <c r="V18" s="28"/>
      <c r="W18" s="28"/>
      <c r="X18" s="28"/>
      <c r="Y18" s="28"/>
    </row>
    <row r="19" spans="1:25" x14ac:dyDescent="0.25">
      <c r="A19" s="28"/>
      <c r="B19" s="1"/>
      <c r="D19" t="s">
        <v>70</v>
      </c>
      <c r="E19" s="5"/>
      <c r="H19" s="161">
        <v>44562</v>
      </c>
      <c r="L19" s="121"/>
      <c r="M19" s="28"/>
      <c r="N19" s="156">
        <f t="shared" si="0"/>
        <v>43009</v>
      </c>
      <c r="O19" s="155">
        <f t="shared" si="1"/>
        <v>2017</v>
      </c>
      <c r="P19" s="155">
        <f t="shared" si="2"/>
        <v>10</v>
      </c>
      <c r="Q19" s="28"/>
      <c r="R19" s="28"/>
      <c r="S19" s="28"/>
      <c r="T19" s="28"/>
      <c r="U19" s="28"/>
      <c r="V19" s="28"/>
      <c r="W19" s="28"/>
      <c r="X19" s="28"/>
      <c r="Y19" s="28"/>
    </row>
    <row r="20" spans="1:25" x14ac:dyDescent="0.25">
      <c r="A20" s="28"/>
      <c r="B20" s="1"/>
      <c r="L20" s="25"/>
      <c r="M20" s="28"/>
      <c r="N20" s="156">
        <f t="shared" si="0"/>
        <v>43040</v>
      </c>
      <c r="O20" s="155">
        <f t="shared" si="1"/>
        <v>2017</v>
      </c>
      <c r="P20" s="155">
        <f t="shared" si="2"/>
        <v>11</v>
      </c>
      <c r="Q20" s="28"/>
      <c r="R20" s="28"/>
      <c r="S20" s="28"/>
      <c r="T20" s="28"/>
      <c r="U20" s="28"/>
      <c r="V20" s="28"/>
      <c r="W20" s="28"/>
      <c r="X20" s="28"/>
      <c r="Y20" s="28"/>
    </row>
    <row r="21" spans="1:25" x14ac:dyDescent="0.25">
      <c r="A21" s="28"/>
      <c r="B21" s="1"/>
      <c r="C21" s="24" t="s">
        <v>75</v>
      </c>
      <c r="D21" s="5"/>
      <c r="L21" s="25"/>
      <c r="M21" s="28"/>
      <c r="N21" s="156">
        <f t="shared" si="0"/>
        <v>43070</v>
      </c>
      <c r="O21" s="155">
        <f t="shared" si="1"/>
        <v>2017</v>
      </c>
      <c r="P21" s="155">
        <f t="shared" si="2"/>
        <v>12</v>
      </c>
      <c r="Q21" s="28"/>
      <c r="R21" s="28"/>
      <c r="S21" s="28"/>
      <c r="T21" s="28"/>
      <c r="U21" s="28"/>
      <c r="V21" s="28"/>
      <c r="W21" s="28"/>
      <c r="X21" s="28"/>
      <c r="Y21" s="28"/>
    </row>
    <row r="22" spans="1:25" x14ac:dyDescent="0.25">
      <c r="A22" s="28"/>
      <c r="B22" s="1"/>
      <c r="C22" s="5"/>
      <c r="D22" t="s">
        <v>73</v>
      </c>
      <c r="H22" s="164" t="s">
        <v>15</v>
      </c>
      <c r="L22" s="25"/>
      <c r="M22" s="28"/>
      <c r="N22" s="156">
        <f t="shared" si="0"/>
        <v>43101</v>
      </c>
      <c r="O22" s="155">
        <f t="shared" si="1"/>
        <v>2018</v>
      </c>
      <c r="P22" s="155">
        <f t="shared" si="2"/>
        <v>1</v>
      </c>
      <c r="Q22" s="28"/>
      <c r="R22" s="28"/>
      <c r="S22" s="28"/>
      <c r="T22" s="28"/>
      <c r="U22" s="28"/>
      <c r="V22" s="28"/>
      <c r="W22" s="28"/>
      <c r="X22" s="28"/>
      <c r="Y22" s="28"/>
    </row>
    <row r="23" spans="1:25" x14ac:dyDescent="0.25">
      <c r="A23" s="28"/>
      <c r="B23" s="1"/>
      <c r="C23" s="5"/>
      <c r="D23" t="s">
        <v>74</v>
      </c>
      <c r="H23" s="164" t="s">
        <v>9</v>
      </c>
      <c r="I23" s="178"/>
      <c r="L23" s="25"/>
      <c r="M23" s="28"/>
      <c r="N23" s="156">
        <f t="shared" si="0"/>
        <v>43132</v>
      </c>
      <c r="O23" s="155">
        <f t="shared" si="1"/>
        <v>2018</v>
      </c>
      <c r="P23" s="155">
        <f t="shared" si="2"/>
        <v>2</v>
      </c>
      <c r="Q23" s="28"/>
      <c r="R23" s="28"/>
      <c r="S23" s="28"/>
      <c r="T23" s="28"/>
      <c r="U23" s="28"/>
      <c r="V23" s="28"/>
      <c r="W23" s="28"/>
      <c r="X23" s="28"/>
      <c r="Y23" s="28"/>
    </row>
    <row r="24" spans="1:25" x14ac:dyDescent="0.25">
      <c r="A24" s="28"/>
      <c r="B24" s="1"/>
      <c r="F24" s="178"/>
      <c r="L24" s="25"/>
      <c r="M24" s="28"/>
      <c r="N24" s="156">
        <f t="shared" si="0"/>
        <v>43160</v>
      </c>
      <c r="O24" s="155">
        <f t="shared" si="1"/>
        <v>2018</v>
      </c>
      <c r="P24" s="155">
        <f t="shared" si="2"/>
        <v>3</v>
      </c>
      <c r="Q24" s="28"/>
      <c r="R24" s="28"/>
      <c r="S24" s="28"/>
      <c r="T24" s="28"/>
      <c r="U24" s="28"/>
      <c r="V24" s="28"/>
      <c r="W24" s="28"/>
      <c r="X24" s="28"/>
      <c r="Y24" s="28"/>
    </row>
    <row r="25" spans="1:25" x14ac:dyDescent="0.25">
      <c r="A25" s="28"/>
      <c r="B25" s="1"/>
      <c r="C25" s="24" t="s">
        <v>72</v>
      </c>
      <c r="D25" s="5"/>
      <c r="E25" s="5"/>
      <c r="F25" s="5"/>
      <c r="G25" s="5"/>
      <c r="L25" s="2"/>
      <c r="M25" s="28"/>
      <c r="N25" s="156">
        <f t="shared" si="0"/>
        <v>43191</v>
      </c>
      <c r="O25" s="155">
        <f t="shared" si="1"/>
        <v>2018</v>
      </c>
      <c r="P25" s="155">
        <f t="shared" si="2"/>
        <v>4</v>
      </c>
      <c r="Q25" s="28"/>
      <c r="R25" s="28"/>
      <c r="S25" s="28"/>
      <c r="T25" s="28"/>
      <c r="U25" s="28"/>
      <c r="V25" s="28"/>
      <c r="W25" s="28"/>
      <c r="X25" s="28"/>
      <c r="Y25" s="28"/>
    </row>
    <row r="26" spans="1:25" x14ac:dyDescent="0.25">
      <c r="A26" s="28"/>
      <c r="B26" s="1"/>
      <c r="D26" s="5"/>
      <c r="G26" s="5" t="s">
        <v>46</v>
      </c>
      <c r="H26" s="193">
        <v>2014.5</v>
      </c>
      <c r="L26" s="2"/>
      <c r="M26" s="28"/>
      <c r="N26" s="156">
        <f t="shared" si="0"/>
        <v>43221</v>
      </c>
      <c r="O26" s="155">
        <f t="shared" si="1"/>
        <v>2018</v>
      </c>
      <c r="P26" s="155">
        <f t="shared" si="2"/>
        <v>5</v>
      </c>
      <c r="Q26" s="28"/>
      <c r="R26" s="28"/>
      <c r="S26" s="28"/>
      <c r="T26" s="28"/>
      <c r="U26" s="28"/>
      <c r="V26" s="28"/>
      <c r="W26" s="28"/>
      <c r="X26" s="28"/>
      <c r="Y26" s="28"/>
    </row>
    <row r="27" spans="1:25" x14ac:dyDescent="0.25">
      <c r="A27" s="28"/>
      <c r="B27" s="1"/>
      <c r="D27" s="153" t="str">
        <f>TEXT(Upgrade_Base_Year,"0000.00")&amp;" $ Cost ($MM)"</f>
        <v>2014.50 $ Cost ($MM)</v>
      </c>
      <c r="F27" s="157" t="s">
        <v>63</v>
      </c>
      <c r="G27" s="158"/>
      <c r="H27" s="158"/>
      <c r="I27" s="159"/>
      <c r="L27" s="2"/>
      <c r="M27" s="28"/>
      <c r="N27" s="156">
        <f t="shared" si="0"/>
        <v>43252</v>
      </c>
      <c r="O27" s="155">
        <f t="shared" si="1"/>
        <v>2018</v>
      </c>
      <c r="P27" s="155">
        <f t="shared" si="2"/>
        <v>6</v>
      </c>
      <c r="Q27" s="28"/>
      <c r="R27" s="28"/>
      <c r="S27" s="28"/>
      <c r="T27" s="28"/>
      <c r="U27" s="28"/>
      <c r="V27" s="28"/>
      <c r="W27" s="28"/>
      <c r="X27" s="28"/>
      <c r="Y27" s="28"/>
    </row>
    <row r="28" spans="1:25" x14ac:dyDescent="0.25">
      <c r="A28" s="28"/>
      <c r="B28" s="1"/>
      <c r="D28" s="162" t="s">
        <v>90</v>
      </c>
      <c r="E28" s="163"/>
      <c r="F28" s="114">
        <v>20</v>
      </c>
      <c r="G28" s="114">
        <v>250</v>
      </c>
      <c r="H28" s="114">
        <v>400</v>
      </c>
      <c r="I28" s="114">
        <v>600</v>
      </c>
      <c r="L28" s="2"/>
      <c r="M28" s="28"/>
      <c r="N28" s="156">
        <f t="shared" si="0"/>
        <v>43282</v>
      </c>
      <c r="O28" s="155">
        <f t="shared" si="1"/>
        <v>2018</v>
      </c>
      <c r="P28" s="155">
        <f t="shared" si="2"/>
        <v>7</v>
      </c>
      <c r="Q28" s="28"/>
      <c r="R28" s="28"/>
      <c r="S28" s="28"/>
      <c r="T28" s="28"/>
      <c r="U28" s="28"/>
      <c r="V28" s="28"/>
      <c r="W28" s="28"/>
      <c r="X28" s="28"/>
      <c r="Y28" s="28"/>
    </row>
    <row r="29" spans="1:25" x14ac:dyDescent="0.25">
      <c r="A29" s="28"/>
      <c r="B29" s="1"/>
      <c r="D29" s="200" t="s">
        <v>91</v>
      </c>
      <c r="E29" s="191"/>
      <c r="F29" s="201">
        <f>SUM(F30:F31)</f>
        <v>18.09</v>
      </c>
      <c r="G29" s="204">
        <f t="shared" ref="G29:I29" si="3">SUM(G30:G31)</f>
        <v>18.09</v>
      </c>
      <c r="H29" s="204">
        <f t="shared" si="3"/>
        <v>19.23</v>
      </c>
      <c r="I29" s="205">
        <f t="shared" si="3"/>
        <v>19.23</v>
      </c>
      <c r="L29" s="2"/>
      <c r="M29" s="28"/>
      <c r="N29" s="156">
        <f t="shared" si="0"/>
        <v>43313</v>
      </c>
      <c r="O29" s="155">
        <f t="shared" si="1"/>
        <v>2018</v>
      </c>
      <c r="P29" s="155">
        <f t="shared" si="2"/>
        <v>8</v>
      </c>
      <c r="Q29" s="28"/>
      <c r="R29" s="28"/>
      <c r="S29" s="28"/>
      <c r="T29" s="28"/>
      <c r="U29" s="28"/>
      <c r="V29" s="28"/>
      <c r="W29" s="28"/>
      <c r="X29" s="28"/>
      <c r="Y29" s="28"/>
    </row>
    <row r="30" spans="1:25" x14ac:dyDescent="0.25">
      <c r="A30" s="28"/>
      <c r="B30" s="1"/>
      <c r="C30" s="194">
        <v>1.426E-2</v>
      </c>
      <c r="D30" s="196" t="s">
        <v>88</v>
      </c>
      <c r="E30" s="197"/>
      <c r="F30" s="208">
        <f>G30</f>
        <v>12.324999999999999</v>
      </c>
      <c r="G30" s="202">
        <v>12.324999999999999</v>
      </c>
      <c r="H30" s="202">
        <v>12.324999999999999</v>
      </c>
      <c r="I30" s="206">
        <f>H30</f>
        <v>12.324999999999999</v>
      </c>
      <c r="L30" s="2"/>
      <c r="M30" s="28"/>
      <c r="N30" s="156">
        <f t="shared" si="0"/>
        <v>43344</v>
      </c>
      <c r="O30" s="155">
        <f t="shared" si="1"/>
        <v>2018</v>
      </c>
      <c r="P30" s="155">
        <f t="shared" si="2"/>
        <v>9</v>
      </c>
      <c r="Q30" s="28"/>
      <c r="R30" s="28"/>
      <c r="S30" s="28"/>
      <c r="T30" s="28"/>
      <c r="U30" s="28"/>
      <c r="V30" s="28"/>
      <c r="W30" s="28"/>
      <c r="X30" s="28"/>
      <c r="Y30" s="28"/>
    </row>
    <row r="31" spans="1:25" x14ac:dyDescent="0.25">
      <c r="A31" s="28"/>
      <c r="B31" s="1"/>
      <c r="C31" s="195">
        <v>1.0275700000000001</v>
      </c>
      <c r="D31" s="198" t="s">
        <v>89</v>
      </c>
      <c r="E31" s="199"/>
      <c r="F31" s="209">
        <f>G31</f>
        <v>5.7649999999999997</v>
      </c>
      <c r="G31" s="203">
        <v>5.7649999999999997</v>
      </c>
      <c r="H31" s="203">
        <v>6.9050000000000002</v>
      </c>
      <c r="I31" s="207">
        <f>H31</f>
        <v>6.9050000000000002</v>
      </c>
      <c r="L31" s="2"/>
      <c r="M31" s="28"/>
      <c r="N31" s="156">
        <f t="shared" si="0"/>
        <v>43374</v>
      </c>
      <c r="O31" s="155">
        <f t="shared" si="1"/>
        <v>2018</v>
      </c>
      <c r="P31" s="155">
        <f t="shared" si="2"/>
        <v>10</v>
      </c>
      <c r="Q31" s="28"/>
      <c r="R31" s="28"/>
      <c r="S31" s="28"/>
      <c r="T31" s="28"/>
      <c r="U31" s="28"/>
      <c r="V31" s="28"/>
      <c r="W31" s="28"/>
      <c r="X31" s="28"/>
      <c r="Y31" s="28"/>
    </row>
    <row r="32" spans="1:25" x14ac:dyDescent="0.25">
      <c r="A32" s="28"/>
      <c r="B32" s="1"/>
      <c r="D32" s="179"/>
      <c r="E32" s="67"/>
      <c r="G32" s="5"/>
      <c r="L32" s="2"/>
      <c r="M32" s="28"/>
      <c r="N32" s="156">
        <f t="shared" si="0"/>
        <v>43405</v>
      </c>
      <c r="O32" s="155">
        <f t="shared" si="1"/>
        <v>2018</v>
      </c>
      <c r="P32" s="155">
        <f t="shared" si="2"/>
        <v>11</v>
      </c>
      <c r="Q32" s="28"/>
      <c r="R32" s="28"/>
      <c r="S32" s="28"/>
      <c r="T32" s="28"/>
      <c r="U32" s="28"/>
      <c r="V32" s="28"/>
      <c r="W32" s="28"/>
      <c r="X32" s="28"/>
      <c r="Y32" s="28"/>
    </row>
    <row r="33" spans="1:25" x14ac:dyDescent="0.25">
      <c r="A33" s="28"/>
      <c r="B33" s="1"/>
      <c r="C33" s="24" t="s">
        <v>79</v>
      </c>
      <c r="D33" s="5"/>
      <c r="E33" s="5"/>
      <c r="F33" s="5"/>
      <c r="G33" s="5"/>
      <c r="L33" s="2"/>
      <c r="M33" s="28"/>
      <c r="N33" s="156">
        <f t="shared" si="0"/>
        <v>43435</v>
      </c>
      <c r="O33" s="155">
        <f t="shared" si="1"/>
        <v>2018</v>
      </c>
      <c r="P33" s="155">
        <f t="shared" si="2"/>
        <v>12</v>
      </c>
      <c r="Q33" s="28"/>
      <c r="R33" s="28"/>
      <c r="S33" s="28"/>
      <c r="T33" s="28"/>
      <c r="U33" s="28"/>
      <c r="V33" s="28"/>
      <c r="W33" s="28"/>
      <c r="X33" s="28"/>
      <c r="Y33" s="28"/>
    </row>
    <row r="34" spans="1:25" x14ac:dyDescent="0.25">
      <c r="A34" s="28"/>
      <c r="B34" s="1"/>
      <c r="C34" s="5"/>
      <c r="D34" s="165" t="s">
        <v>76</v>
      </c>
      <c r="E34" s="23"/>
      <c r="F34" s="5"/>
      <c r="G34" s="5"/>
      <c r="H34" s="164" t="s">
        <v>12</v>
      </c>
      <c r="L34" s="2"/>
      <c r="M34" s="28"/>
      <c r="N34" s="156">
        <f t="shared" si="0"/>
        <v>43466</v>
      </c>
      <c r="O34" s="155">
        <f t="shared" si="1"/>
        <v>2019</v>
      </c>
      <c r="P34" s="155">
        <f t="shared" si="2"/>
        <v>1</v>
      </c>
      <c r="Q34" s="28"/>
      <c r="R34" s="28"/>
      <c r="S34" s="28"/>
      <c r="T34" s="28"/>
      <c r="U34" s="28"/>
      <c r="V34" s="28"/>
      <c r="W34" s="28"/>
      <c r="X34" s="28"/>
      <c r="Y34" s="28"/>
    </row>
    <row r="35" spans="1:25" x14ac:dyDescent="0.25">
      <c r="A35" s="28"/>
      <c r="B35" s="1"/>
      <c r="C35" s="5"/>
      <c r="D35" s="165" t="s">
        <v>77</v>
      </c>
      <c r="E35" s="23"/>
      <c r="F35" s="5"/>
      <c r="G35" s="5"/>
      <c r="H35" s="164" t="s">
        <v>13</v>
      </c>
      <c r="L35" s="2"/>
      <c r="M35" s="28"/>
      <c r="N35" s="156">
        <f t="shared" si="0"/>
        <v>43497</v>
      </c>
      <c r="O35" s="155">
        <f t="shared" si="1"/>
        <v>2019</v>
      </c>
      <c r="P35" s="155">
        <f t="shared" si="2"/>
        <v>2</v>
      </c>
      <c r="Q35" s="28"/>
      <c r="R35" s="28"/>
      <c r="S35" s="28"/>
      <c r="T35" s="28"/>
      <c r="U35" s="28"/>
      <c r="V35" s="28"/>
      <c r="W35" s="28"/>
      <c r="X35" s="28"/>
      <c r="Y35" s="28"/>
    </row>
    <row r="36" spans="1:25" x14ac:dyDescent="0.25">
      <c r="A36" s="28"/>
      <c r="B36" s="1"/>
      <c r="C36" s="5"/>
      <c r="D36" s="165" t="s">
        <v>78</v>
      </c>
      <c r="E36" s="23"/>
      <c r="F36" s="5"/>
      <c r="G36" s="5"/>
      <c r="H36" s="164" t="s">
        <v>14</v>
      </c>
      <c r="J36" s="5"/>
      <c r="K36" s="5"/>
      <c r="L36" s="2"/>
      <c r="M36" s="28"/>
      <c r="N36" s="156">
        <f t="shared" si="0"/>
        <v>43525</v>
      </c>
      <c r="O36" s="155">
        <f t="shared" si="1"/>
        <v>2019</v>
      </c>
      <c r="P36" s="155">
        <f t="shared" si="2"/>
        <v>3</v>
      </c>
      <c r="Q36" s="28"/>
      <c r="R36" s="28"/>
      <c r="S36" s="28"/>
      <c r="T36" s="28"/>
      <c r="U36" s="28"/>
      <c r="V36" s="28"/>
      <c r="W36" s="28"/>
      <c r="X36" s="28"/>
      <c r="Y36" s="28"/>
    </row>
    <row r="37" spans="1:25" x14ac:dyDescent="0.25">
      <c r="A37" s="28"/>
      <c r="B37" s="1"/>
      <c r="C37" s="5"/>
      <c r="D37" s="5"/>
      <c r="E37" s="5"/>
      <c r="F37" s="5"/>
      <c r="G37" s="5"/>
      <c r="J37" s="5"/>
      <c r="K37" s="5"/>
      <c r="L37" s="2"/>
      <c r="M37" s="28"/>
      <c r="N37" s="156">
        <f t="shared" si="0"/>
        <v>43556</v>
      </c>
      <c r="O37" s="155">
        <f t="shared" si="1"/>
        <v>2019</v>
      </c>
      <c r="P37" s="155">
        <f t="shared" si="2"/>
        <v>4</v>
      </c>
      <c r="Q37" s="28"/>
      <c r="R37" s="28"/>
      <c r="S37" s="28"/>
      <c r="T37" s="28"/>
      <c r="U37" s="28"/>
      <c r="V37" s="28"/>
      <c r="W37" s="28"/>
      <c r="X37" s="28"/>
      <c r="Y37" s="28"/>
    </row>
    <row r="38" spans="1:25" x14ac:dyDescent="0.25">
      <c r="A38" s="28"/>
      <c r="B38" s="1"/>
      <c r="C38" s="24" t="s">
        <v>81</v>
      </c>
      <c r="D38" s="5"/>
      <c r="E38" s="5"/>
      <c r="F38" s="5"/>
      <c r="G38" s="5"/>
      <c r="H38" s="5"/>
      <c r="I38" s="5"/>
      <c r="J38" s="5"/>
      <c r="K38" s="5"/>
      <c r="L38" s="2"/>
      <c r="M38" s="28"/>
      <c r="N38" s="156">
        <f t="shared" si="0"/>
        <v>43586</v>
      </c>
      <c r="O38" s="155">
        <f t="shared" si="1"/>
        <v>2019</v>
      </c>
      <c r="P38" s="155">
        <f t="shared" si="2"/>
        <v>5</v>
      </c>
      <c r="Q38" s="28"/>
      <c r="R38" s="28"/>
      <c r="S38" s="28"/>
      <c r="T38" s="28"/>
      <c r="U38" s="28"/>
      <c r="V38" s="28"/>
      <c r="W38" s="28"/>
      <c r="X38" s="28"/>
      <c r="Y38" s="28"/>
    </row>
    <row r="39" spans="1:25" x14ac:dyDescent="0.25">
      <c r="A39" s="28"/>
      <c r="B39" s="1"/>
      <c r="C39" s="5"/>
      <c r="F39" s="166" t="s">
        <v>53</v>
      </c>
      <c r="G39" s="166" t="s">
        <v>54</v>
      </c>
      <c r="H39" s="166" t="s">
        <v>60</v>
      </c>
      <c r="I39" s="166" t="s">
        <v>55</v>
      </c>
      <c r="J39" s="5"/>
      <c r="K39" s="5"/>
      <c r="L39" s="2"/>
      <c r="M39" s="28"/>
      <c r="N39" s="156">
        <f t="shared" si="0"/>
        <v>43617</v>
      </c>
      <c r="O39" s="155">
        <f t="shared" si="1"/>
        <v>2019</v>
      </c>
      <c r="P39" s="155">
        <f t="shared" si="2"/>
        <v>6</v>
      </c>
      <c r="Q39" s="28"/>
      <c r="R39" s="28"/>
      <c r="S39" s="28"/>
      <c r="T39" s="28"/>
      <c r="U39" s="28"/>
      <c r="V39" s="28"/>
      <c r="W39" s="28"/>
      <c r="X39" s="28"/>
      <c r="Y39" s="28"/>
    </row>
    <row r="40" spans="1:25" x14ac:dyDescent="0.25">
      <c r="A40" s="28"/>
      <c r="B40" s="1"/>
      <c r="C40" s="5"/>
      <c r="F40" s="167" t="s">
        <v>56</v>
      </c>
      <c r="G40" s="167" t="s">
        <v>57</v>
      </c>
      <c r="H40" s="167" t="s">
        <v>58</v>
      </c>
      <c r="I40" s="167" t="s">
        <v>58</v>
      </c>
      <c r="J40" s="5"/>
      <c r="K40" s="5"/>
      <c r="L40" s="2"/>
      <c r="M40" s="28"/>
      <c r="N40" s="156">
        <f t="shared" si="0"/>
        <v>43647</v>
      </c>
      <c r="O40" s="155">
        <f t="shared" si="1"/>
        <v>2019</v>
      </c>
      <c r="P40" s="155">
        <f t="shared" si="2"/>
        <v>7</v>
      </c>
      <c r="Q40" s="28"/>
      <c r="R40" s="28"/>
      <c r="S40" s="28"/>
      <c r="T40" s="28"/>
      <c r="U40" s="28"/>
      <c r="V40" s="28"/>
      <c r="W40" s="28"/>
      <c r="X40" s="28"/>
      <c r="Y40" s="28"/>
    </row>
    <row r="41" spans="1:25" x14ac:dyDescent="0.25">
      <c r="A41" s="28"/>
      <c r="B41" s="1"/>
      <c r="C41" s="26"/>
      <c r="D41" s="169" t="s">
        <v>82</v>
      </c>
      <c r="E41" s="168"/>
      <c r="F41" s="170">
        <f>F28</f>
        <v>20</v>
      </c>
      <c r="G41" s="171">
        <v>1</v>
      </c>
      <c r="H41" s="172">
        <v>1</v>
      </c>
      <c r="I41" s="173">
        <v>1</v>
      </c>
      <c r="J41" s="5"/>
      <c r="K41" s="5"/>
      <c r="L41" s="9"/>
      <c r="M41" s="28"/>
      <c r="N41" s="156">
        <f t="shared" si="0"/>
        <v>43678</v>
      </c>
      <c r="O41" s="155">
        <f t="shared" si="1"/>
        <v>2019</v>
      </c>
      <c r="P41" s="155">
        <f t="shared" si="2"/>
        <v>8</v>
      </c>
      <c r="Q41" s="28"/>
      <c r="R41" s="28"/>
      <c r="S41" s="28"/>
      <c r="T41" s="28"/>
      <c r="U41" s="28"/>
      <c r="V41" s="28"/>
      <c r="W41" s="28"/>
      <c r="X41" s="28"/>
      <c r="Y41" s="28"/>
    </row>
    <row r="42" spans="1:25" x14ac:dyDescent="0.25">
      <c r="A42" s="28"/>
      <c r="B42" s="1"/>
      <c r="C42" s="26"/>
      <c r="D42" s="3" t="s">
        <v>83</v>
      </c>
      <c r="E42" s="4"/>
      <c r="F42" s="174">
        <f>I28</f>
        <v>600</v>
      </c>
      <c r="G42" s="175">
        <v>20</v>
      </c>
      <c r="H42" s="176">
        <v>500</v>
      </c>
      <c r="I42" s="177">
        <v>200</v>
      </c>
      <c r="J42" s="5"/>
      <c r="K42" s="5"/>
      <c r="L42" s="9"/>
      <c r="M42" s="28"/>
      <c r="N42" s="156">
        <f t="shared" ref="N42:N73" si="4">IF(DATE(O42,P42,1)&gt;Latest_CO_Date,N41,DATE(O42,P42,1))</f>
        <v>43709</v>
      </c>
      <c r="O42" s="155">
        <f t="shared" si="1"/>
        <v>2019</v>
      </c>
      <c r="P42" s="155">
        <f t="shared" si="2"/>
        <v>9</v>
      </c>
      <c r="Q42" s="28"/>
      <c r="R42" s="28"/>
      <c r="S42" s="28"/>
      <c r="T42" s="28"/>
      <c r="U42" s="28"/>
      <c r="V42" s="28"/>
      <c r="W42" s="28"/>
      <c r="X42" s="28"/>
      <c r="Y42" s="28"/>
    </row>
    <row r="43" spans="1:25" x14ac:dyDescent="0.25">
      <c r="A43" s="28"/>
      <c r="B43" s="1"/>
      <c r="J43" s="5"/>
      <c r="K43" s="5"/>
      <c r="L43" s="27"/>
      <c r="M43" s="28"/>
      <c r="N43" s="156">
        <f t="shared" si="4"/>
        <v>43739</v>
      </c>
      <c r="O43" s="155">
        <f t="shared" si="1"/>
        <v>2019</v>
      </c>
      <c r="P43" s="155">
        <f t="shared" si="2"/>
        <v>10</v>
      </c>
      <c r="Q43" s="28"/>
      <c r="R43" s="28"/>
      <c r="S43" s="28"/>
      <c r="T43" s="28"/>
      <c r="U43" s="28"/>
      <c r="V43" s="28"/>
      <c r="W43" s="28"/>
      <c r="X43" s="28"/>
      <c r="Y43" s="28"/>
    </row>
    <row r="44" spans="1:25" x14ac:dyDescent="0.25">
      <c r="A44" s="28"/>
      <c r="B44" s="1"/>
      <c r="J44" s="5"/>
      <c r="K44" s="5"/>
      <c r="L44" s="27"/>
      <c r="M44" s="28"/>
      <c r="N44" s="156">
        <f t="shared" si="4"/>
        <v>43770</v>
      </c>
      <c r="O44" s="155">
        <f t="shared" si="1"/>
        <v>2019</v>
      </c>
      <c r="P44" s="155">
        <f t="shared" si="2"/>
        <v>11</v>
      </c>
      <c r="Q44" s="28"/>
      <c r="R44" s="28"/>
      <c r="S44" s="28"/>
      <c r="T44" s="28"/>
      <c r="U44" s="28"/>
      <c r="V44" s="28"/>
      <c r="W44" s="28"/>
      <c r="X44" s="28"/>
      <c r="Y44" s="28"/>
    </row>
    <row r="45" spans="1:25" x14ac:dyDescent="0.25">
      <c r="A45" s="28"/>
      <c r="B45" s="1"/>
      <c r="F45" s="5"/>
      <c r="G45" s="5"/>
      <c r="H45" s="5"/>
      <c r="I45" s="5"/>
      <c r="J45" s="5"/>
      <c r="K45" s="5"/>
      <c r="L45" s="2"/>
      <c r="M45" s="28"/>
      <c r="N45" s="156">
        <f t="shared" si="4"/>
        <v>43800</v>
      </c>
      <c r="O45" s="155">
        <f t="shared" si="1"/>
        <v>2019</v>
      </c>
      <c r="P45" s="155">
        <f t="shared" si="2"/>
        <v>12</v>
      </c>
      <c r="Q45" s="28"/>
      <c r="R45" s="28"/>
      <c r="S45" s="28"/>
      <c r="T45" s="28"/>
      <c r="U45" s="28"/>
      <c r="V45" s="28"/>
      <c r="W45" s="28"/>
      <c r="X45" s="28"/>
      <c r="Y45" s="28"/>
    </row>
    <row r="46" spans="1:25" x14ac:dyDescent="0.25">
      <c r="A46" s="28"/>
      <c r="B46" s="3"/>
      <c r="C46" s="6"/>
      <c r="D46" s="6"/>
      <c r="E46" s="6"/>
      <c r="F46" s="6"/>
      <c r="G46" s="6"/>
      <c r="H46" s="6"/>
      <c r="I46" s="6"/>
      <c r="J46" s="6"/>
      <c r="K46" s="6"/>
      <c r="L46" s="4"/>
      <c r="M46" s="28"/>
      <c r="N46" s="156">
        <f t="shared" si="4"/>
        <v>43831</v>
      </c>
      <c r="O46" s="155">
        <f t="shared" ref="O46:O72" si="5">IF(P45=12,O45+1,O45)</f>
        <v>2020</v>
      </c>
      <c r="P46" s="155">
        <f t="shared" si="2"/>
        <v>1</v>
      </c>
      <c r="Q46" s="28"/>
      <c r="R46" s="28"/>
      <c r="S46" s="28"/>
      <c r="T46" s="28"/>
      <c r="U46" s="28"/>
      <c r="V46" s="28"/>
      <c r="W46" s="28"/>
      <c r="X46" s="28"/>
      <c r="Y46" s="28"/>
    </row>
    <row r="47" spans="1:25" x14ac:dyDescent="0.25">
      <c r="A47" s="28"/>
      <c r="B47" s="28"/>
      <c r="C47" s="28"/>
      <c r="D47" s="28"/>
      <c r="E47" s="28"/>
      <c r="F47" s="28"/>
      <c r="G47" s="28"/>
      <c r="H47" s="28"/>
      <c r="I47" s="28"/>
      <c r="J47" s="28"/>
      <c r="K47" s="28"/>
      <c r="L47" s="28"/>
      <c r="M47" s="28"/>
      <c r="N47" s="156">
        <f t="shared" si="4"/>
        <v>43862</v>
      </c>
      <c r="O47" s="155">
        <f t="shared" si="5"/>
        <v>2020</v>
      </c>
      <c r="P47" s="155">
        <f t="shared" si="2"/>
        <v>2</v>
      </c>
      <c r="Q47" s="28"/>
      <c r="R47" s="28"/>
      <c r="S47" s="28"/>
      <c r="T47" s="28"/>
      <c r="U47" s="28"/>
      <c r="V47" s="28"/>
      <c r="W47" s="28"/>
      <c r="X47" s="28"/>
      <c r="Y47" s="28"/>
    </row>
    <row r="48" spans="1:25" x14ac:dyDescent="0.25">
      <c r="A48" s="28"/>
      <c r="B48" s="28"/>
      <c r="C48" s="28"/>
      <c r="D48" s="28"/>
      <c r="E48" s="28"/>
      <c r="F48" s="28"/>
      <c r="G48" s="28"/>
      <c r="H48" s="28"/>
      <c r="I48" s="28"/>
      <c r="J48" s="28"/>
      <c r="K48" s="28"/>
      <c r="L48" s="28"/>
      <c r="M48" s="28"/>
      <c r="N48" s="156">
        <f t="shared" si="4"/>
        <v>43891</v>
      </c>
      <c r="O48" s="155">
        <f t="shared" si="5"/>
        <v>2020</v>
      </c>
      <c r="P48" s="155">
        <f t="shared" si="2"/>
        <v>3</v>
      </c>
      <c r="Q48" s="28"/>
      <c r="R48" s="28"/>
      <c r="S48" s="28"/>
      <c r="T48" s="28"/>
      <c r="U48" s="28"/>
      <c r="V48" s="28"/>
      <c r="W48" s="28"/>
      <c r="X48" s="28"/>
      <c r="Y48" s="28"/>
    </row>
    <row r="49" spans="1:25" x14ac:dyDescent="0.25">
      <c r="A49" s="28"/>
      <c r="B49" s="28"/>
      <c r="C49" s="28"/>
      <c r="D49" s="28"/>
      <c r="E49" s="28"/>
      <c r="F49" s="28"/>
      <c r="G49" s="151"/>
      <c r="H49" s="53"/>
      <c r="I49" s="53"/>
      <c r="J49" s="28"/>
      <c r="K49" s="28"/>
      <c r="L49" s="28"/>
      <c r="M49" s="28"/>
      <c r="N49" s="156">
        <f t="shared" si="4"/>
        <v>43922</v>
      </c>
      <c r="O49" s="155">
        <f t="shared" si="5"/>
        <v>2020</v>
      </c>
      <c r="P49" s="155">
        <f t="shared" si="2"/>
        <v>4</v>
      </c>
      <c r="Q49" s="28"/>
      <c r="R49" s="28"/>
      <c r="S49" s="28"/>
      <c r="T49" s="28"/>
      <c r="U49" s="28"/>
      <c r="V49" s="28"/>
      <c r="W49" s="28"/>
      <c r="X49" s="28"/>
      <c r="Y49" s="28"/>
    </row>
    <row r="50" spans="1:25" x14ac:dyDescent="0.25">
      <c r="A50" s="28"/>
      <c r="B50" s="28"/>
      <c r="C50" s="28"/>
      <c r="D50" s="28"/>
      <c r="E50" s="28"/>
      <c r="F50" s="28"/>
      <c r="G50" s="152"/>
      <c r="H50" s="28"/>
      <c r="I50" s="28"/>
      <c r="J50" s="28"/>
      <c r="K50" s="28"/>
      <c r="L50" s="28"/>
      <c r="M50" s="28"/>
      <c r="N50" s="156">
        <f t="shared" si="4"/>
        <v>43952</v>
      </c>
      <c r="O50" s="155">
        <f t="shared" si="5"/>
        <v>2020</v>
      </c>
      <c r="P50" s="155">
        <f t="shared" si="2"/>
        <v>5</v>
      </c>
      <c r="Q50" s="28"/>
      <c r="R50" s="28"/>
      <c r="S50" s="28"/>
      <c r="T50" s="28"/>
      <c r="U50" s="28"/>
      <c r="V50" s="28"/>
      <c r="W50" s="28"/>
      <c r="X50" s="28"/>
      <c r="Y50" s="28"/>
    </row>
    <row r="51" spans="1:25" x14ac:dyDescent="0.25">
      <c r="A51" s="28"/>
      <c r="B51" s="28"/>
      <c r="C51" s="28"/>
      <c r="D51" s="28"/>
      <c r="E51" s="28"/>
      <c r="F51" s="28"/>
      <c r="G51" s="152"/>
      <c r="H51" s="28"/>
      <c r="I51" s="28"/>
      <c r="J51" s="28"/>
      <c r="K51" s="28"/>
      <c r="L51" s="28"/>
      <c r="M51" s="28"/>
      <c r="N51" s="156">
        <f t="shared" si="4"/>
        <v>43983</v>
      </c>
      <c r="O51" s="155">
        <f t="shared" si="5"/>
        <v>2020</v>
      </c>
      <c r="P51" s="155">
        <f t="shared" si="2"/>
        <v>6</v>
      </c>
      <c r="Q51" s="28"/>
      <c r="R51" s="28"/>
      <c r="S51" s="28"/>
      <c r="T51" s="28"/>
      <c r="U51" s="28"/>
      <c r="V51" s="28"/>
      <c r="W51" s="28"/>
      <c r="X51" s="28"/>
      <c r="Y51" s="28"/>
    </row>
    <row r="52" spans="1:25" x14ac:dyDescent="0.25">
      <c r="A52" s="28"/>
      <c r="B52" s="28"/>
      <c r="C52" s="28"/>
      <c r="D52" s="28"/>
      <c r="E52" s="28"/>
      <c r="F52" s="28"/>
      <c r="G52" s="28"/>
      <c r="H52" s="28"/>
      <c r="I52" s="28"/>
      <c r="J52" s="28"/>
      <c r="K52" s="28"/>
      <c r="L52" s="28"/>
      <c r="M52" s="28"/>
      <c r="N52" s="156">
        <f t="shared" si="4"/>
        <v>44013</v>
      </c>
      <c r="O52" s="155">
        <f t="shared" si="5"/>
        <v>2020</v>
      </c>
      <c r="P52" s="155">
        <f t="shared" si="2"/>
        <v>7</v>
      </c>
      <c r="Q52" s="28"/>
      <c r="R52" s="28"/>
      <c r="S52" s="28"/>
      <c r="T52" s="28"/>
      <c r="U52" s="28"/>
      <c r="V52" s="28"/>
      <c r="W52" s="28"/>
      <c r="X52" s="28"/>
      <c r="Y52" s="28"/>
    </row>
    <row r="53" spans="1:25" x14ac:dyDescent="0.25">
      <c r="A53" s="28"/>
      <c r="B53" s="28"/>
      <c r="C53" s="28"/>
      <c r="D53" s="28"/>
      <c r="E53" s="28"/>
      <c r="F53" s="28"/>
      <c r="G53" s="28"/>
      <c r="H53" s="28"/>
      <c r="I53" s="28"/>
      <c r="J53" s="28"/>
      <c r="K53" s="28"/>
      <c r="L53" s="28"/>
      <c r="M53" s="28"/>
      <c r="N53" s="156">
        <f t="shared" si="4"/>
        <v>44044</v>
      </c>
      <c r="O53" s="155">
        <f t="shared" si="5"/>
        <v>2020</v>
      </c>
      <c r="P53" s="155">
        <f t="shared" si="2"/>
        <v>8</v>
      </c>
      <c r="Q53" s="28"/>
      <c r="R53" s="28"/>
      <c r="S53" s="28"/>
      <c r="T53" s="28"/>
      <c r="U53" s="28"/>
      <c r="V53" s="28"/>
      <c r="W53" s="28"/>
      <c r="X53" s="28"/>
      <c r="Y53" s="28"/>
    </row>
    <row r="54" spans="1:25" x14ac:dyDescent="0.25">
      <c r="A54" s="28"/>
      <c r="B54" s="28"/>
      <c r="C54" s="28"/>
      <c r="D54" s="28"/>
      <c r="E54" s="28"/>
      <c r="F54" s="28"/>
      <c r="G54" s="28"/>
      <c r="H54" s="28"/>
      <c r="I54" s="28"/>
      <c r="J54" s="28"/>
      <c r="K54" s="28"/>
      <c r="L54" s="28"/>
      <c r="M54" s="28"/>
      <c r="N54" s="156">
        <f t="shared" si="4"/>
        <v>44075</v>
      </c>
      <c r="O54" s="155">
        <f t="shared" si="5"/>
        <v>2020</v>
      </c>
      <c r="P54" s="155">
        <f t="shared" si="2"/>
        <v>9</v>
      </c>
      <c r="Q54" s="28"/>
      <c r="R54" s="28"/>
      <c r="S54" s="28"/>
      <c r="T54" s="28"/>
      <c r="U54" s="28"/>
      <c r="V54" s="28"/>
      <c r="W54" s="28"/>
      <c r="X54" s="28"/>
      <c r="Y54" s="28"/>
    </row>
    <row r="55" spans="1:25" x14ac:dyDescent="0.25">
      <c r="A55" s="28"/>
      <c r="B55" s="28"/>
      <c r="C55" s="28"/>
      <c r="D55" s="28"/>
      <c r="E55" s="28"/>
      <c r="F55" s="28"/>
      <c r="G55" s="28"/>
      <c r="H55" s="28"/>
      <c r="I55" s="28"/>
      <c r="J55" s="28"/>
      <c r="K55" s="28"/>
      <c r="L55" s="28"/>
      <c r="M55" s="28"/>
      <c r="N55" s="156">
        <f t="shared" si="4"/>
        <v>44105</v>
      </c>
      <c r="O55" s="155">
        <f t="shared" si="5"/>
        <v>2020</v>
      </c>
      <c r="P55" s="155">
        <f t="shared" si="2"/>
        <v>10</v>
      </c>
      <c r="Q55" s="28"/>
      <c r="R55" s="28"/>
      <c r="S55" s="28"/>
      <c r="T55" s="28"/>
      <c r="U55" s="28"/>
      <c r="V55" s="28"/>
      <c r="W55" s="28"/>
      <c r="X55" s="28"/>
      <c r="Y55" s="28"/>
    </row>
    <row r="56" spans="1:25" x14ac:dyDescent="0.25">
      <c r="A56" s="28"/>
      <c r="B56" s="28"/>
      <c r="C56" s="28"/>
      <c r="D56" s="28"/>
      <c r="E56" s="28"/>
      <c r="F56" s="28"/>
      <c r="G56" s="28"/>
      <c r="H56" s="28"/>
      <c r="I56" s="28"/>
      <c r="J56" s="28"/>
      <c r="K56" s="28"/>
      <c r="L56" s="28"/>
      <c r="M56" s="28"/>
      <c r="N56" s="156">
        <f t="shared" si="4"/>
        <v>44136</v>
      </c>
      <c r="O56" s="155">
        <f t="shared" si="5"/>
        <v>2020</v>
      </c>
      <c r="P56" s="155">
        <f t="shared" si="2"/>
        <v>11</v>
      </c>
      <c r="Q56" s="28"/>
      <c r="R56" s="28"/>
      <c r="S56" s="28"/>
      <c r="T56" s="28"/>
      <c r="U56" s="28"/>
      <c r="V56" s="28"/>
      <c r="W56" s="28"/>
      <c r="X56" s="28"/>
      <c r="Y56" s="28"/>
    </row>
    <row r="57" spans="1:25" x14ac:dyDescent="0.25">
      <c r="A57" s="28"/>
      <c r="B57" s="28"/>
      <c r="C57" s="28"/>
      <c r="D57" s="28"/>
      <c r="E57" s="28"/>
      <c r="F57" s="28"/>
      <c r="G57" s="28"/>
      <c r="H57" s="28"/>
      <c r="I57" s="28"/>
      <c r="J57" s="28"/>
      <c r="K57" s="28"/>
      <c r="L57" s="28"/>
      <c r="M57" s="28"/>
      <c r="N57" s="156">
        <f t="shared" si="4"/>
        <v>44166</v>
      </c>
      <c r="O57" s="155">
        <f t="shared" si="5"/>
        <v>2020</v>
      </c>
      <c r="P57" s="155">
        <f t="shared" si="2"/>
        <v>12</v>
      </c>
      <c r="Q57" s="28"/>
      <c r="R57" s="28"/>
      <c r="S57" s="28"/>
      <c r="T57" s="28"/>
      <c r="U57" s="28"/>
      <c r="V57" s="28"/>
      <c r="W57" s="28"/>
      <c r="X57" s="28"/>
      <c r="Y57" s="28"/>
    </row>
    <row r="58" spans="1:25" x14ac:dyDescent="0.25">
      <c r="A58" s="28"/>
      <c r="B58" s="28"/>
      <c r="C58" s="28"/>
      <c r="D58" s="28"/>
      <c r="E58" s="28"/>
      <c r="F58" s="28"/>
      <c r="G58" s="28"/>
      <c r="H58" s="28"/>
      <c r="I58" s="28"/>
      <c r="J58" s="28"/>
      <c r="K58" s="28"/>
      <c r="L58" s="28"/>
      <c r="M58" s="28"/>
      <c r="N58" s="156">
        <f t="shared" si="4"/>
        <v>44197</v>
      </c>
      <c r="O58" s="155">
        <f t="shared" si="5"/>
        <v>2021</v>
      </c>
      <c r="P58" s="155">
        <f t="shared" si="2"/>
        <v>1</v>
      </c>
      <c r="Q58" s="28"/>
      <c r="R58" s="28"/>
      <c r="S58" s="28"/>
      <c r="T58" s="28"/>
      <c r="U58" s="28"/>
      <c r="V58" s="28"/>
      <c r="W58" s="28"/>
      <c r="X58" s="28"/>
      <c r="Y58" s="28"/>
    </row>
    <row r="59" spans="1:25" x14ac:dyDescent="0.25">
      <c r="A59" s="28"/>
      <c r="B59" s="28"/>
      <c r="C59" s="28"/>
      <c r="D59" s="28"/>
      <c r="E59" s="28"/>
      <c r="F59" s="28"/>
      <c r="G59" s="28"/>
      <c r="H59" s="28"/>
      <c r="I59" s="28"/>
      <c r="J59" s="28"/>
      <c r="K59" s="28"/>
      <c r="L59" s="28"/>
      <c r="M59" s="28"/>
      <c r="N59" s="156">
        <f t="shared" si="4"/>
        <v>44228</v>
      </c>
      <c r="O59" s="155">
        <f t="shared" si="5"/>
        <v>2021</v>
      </c>
      <c r="P59" s="155">
        <f t="shared" si="2"/>
        <v>2</v>
      </c>
      <c r="Q59" s="28"/>
      <c r="R59" s="28"/>
      <c r="S59" s="28"/>
      <c r="T59" s="28"/>
      <c r="U59" s="28"/>
      <c r="V59" s="28"/>
      <c r="W59" s="28"/>
      <c r="X59" s="28"/>
      <c r="Y59" s="28"/>
    </row>
    <row r="60" spans="1:25" x14ac:dyDescent="0.25">
      <c r="A60" s="28"/>
      <c r="B60" s="28"/>
      <c r="C60" s="28"/>
      <c r="D60" s="28"/>
      <c r="E60" s="28"/>
      <c r="F60" s="28"/>
      <c r="G60" s="28"/>
      <c r="H60" s="28"/>
      <c r="I60" s="28"/>
      <c r="J60" s="28"/>
      <c r="K60" s="28"/>
      <c r="L60" s="28"/>
      <c r="M60" s="28"/>
      <c r="N60" s="156">
        <f t="shared" si="4"/>
        <v>44256</v>
      </c>
      <c r="O60" s="155">
        <f t="shared" si="5"/>
        <v>2021</v>
      </c>
      <c r="P60" s="155">
        <f t="shared" si="2"/>
        <v>3</v>
      </c>
      <c r="Q60" s="28"/>
      <c r="R60" s="28"/>
      <c r="S60" s="28"/>
      <c r="T60" s="28"/>
      <c r="U60" s="28"/>
      <c r="V60" s="28"/>
      <c r="W60" s="28"/>
      <c r="X60" s="28"/>
      <c r="Y60" s="28"/>
    </row>
    <row r="61" spans="1:25" x14ac:dyDescent="0.25">
      <c r="A61" s="28"/>
      <c r="B61" s="28"/>
      <c r="C61" s="28"/>
      <c r="D61" s="28"/>
      <c r="E61" s="28"/>
      <c r="F61" s="28"/>
      <c r="G61" s="28"/>
      <c r="H61" s="28"/>
      <c r="I61" s="28"/>
      <c r="J61" s="28"/>
      <c r="K61" s="28"/>
      <c r="L61" s="28"/>
      <c r="M61" s="28"/>
      <c r="N61" s="156">
        <f t="shared" si="4"/>
        <v>44287</v>
      </c>
      <c r="O61" s="155">
        <f t="shared" si="5"/>
        <v>2021</v>
      </c>
      <c r="P61" s="155">
        <f t="shared" si="2"/>
        <v>4</v>
      </c>
      <c r="Q61" s="28"/>
      <c r="R61" s="28"/>
      <c r="S61" s="28"/>
      <c r="T61" s="28"/>
      <c r="U61" s="28"/>
      <c r="V61" s="28"/>
      <c r="W61" s="28"/>
      <c r="X61" s="28"/>
      <c r="Y61" s="28"/>
    </row>
    <row r="62" spans="1:25" x14ac:dyDescent="0.25">
      <c r="A62" s="28"/>
      <c r="B62" s="28"/>
      <c r="C62" s="28"/>
      <c r="D62" s="28"/>
      <c r="E62" s="28"/>
      <c r="F62" s="28"/>
      <c r="G62" s="28"/>
      <c r="H62" s="28"/>
      <c r="I62" s="28"/>
      <c r="J62" s="28"/>
      <c r="K62" s="28"/>
      <c r="L62" s="28"/>
      <c r="M62" s="28"/>
      <c r="N62" s="156">
        <f t="shared" si="4"/>
        <v>44317</v>
      </c>
      <c r="O62" s="155">
        <f t="shared" si="5"/>
        <v>2021</v>
      </c>
      <c r="P62" s="155">
        <f t="shared" si="2"/>
        <v>5</v>
      </c>
      <c r="Q62" s="28"/>
      <c r="R62" s="28"/>
      <c r="S62" s="28"/>
      <c r="T62" s="28"/>
      <c r="U62" s="28"/>
      <c r="V62" s="28"/>
      <c r="W62" s="28"/>
      <c r="X62" s="28"/>
      <c r="Y62" s="28"/>
    </row>
    <row r="63" spans="1:25" x14ac:dyDescent="0.25">
      <c r="A63" s="28"/>
      <c r="B63" s="28"/>
      <c r="C63" s="28"/>
      <c r="D63" s="28"/>
      <c r="E63" s="28"/>
      <c r="F63" s="28"/>
      <c r="G63" s="28"/>
      <c r="H63" s="28"/>
      <c r="I63" s="28"/>
      <c r="J63" s="28"/>
      <c r="K63" s="28"/>
      <c r="L63" s="28"/>
      <c r="M63" s="28"/>
      <c r="N63" s="156">
        <f t="shared" si="4"/>
        <v>44348</v>
      </c>
      <c r="O63" s="155">
        <f t="shared" si="5"/>
        <v>2021</v>
      </c>
      <c r="P63" s="155">
        <f t="shared" si="2"/>
        <v>6</v>
      </c>
      <c r="Q63" s="28"/>
      <c r="R63" s="28"/>
      <c r="S63" s="28"/>
      <c r="T63" s="28"/>
      <c r="U63" s="28"/>
      <c r="V63" s="28"/>
      <c r="W63" s="28"/>
      <c r="X63" s="28"/>
      <c r="Y63" s="28"/>
    </row>
    <row r="64" spans="1:25" x14ac:dyDescent="0.25">
      <c r="A64" s="28"/>
      <c r="B64" s="28"/>
      <c r="C64" s="28"/>
      <c r="D64" s="28"/>
      <c r="E64" s="28"/>
      <c r="F64" s="28"/>
      <c r="G64" s="28"/>
      <c r="H64" s="28"/>
      <c r="I64" s="28"/>
      <c r="J64" s="28"/>
      <c r="K64" s="28"/>
      <c r="L64" s="28"/>
      <c r="M64" s="28"/>
      <c r="N64" s="156">
        <f t="shared" si="4"/>
        <v>44378</v>
      </c>
      <c r="O64" s="155">
        <f t="shared" si="5"/>
        <v>2021</v>
      </c>
      <c r="P64" s="155">
        <f t="shared" si="2"/>
        <v>7</v>
      </c>
      <c r="Q64" s="28"/>
      <c r="R64" s="28"/>
      <c r="S64" s="28"/>
      <c r="T64" s="28"/>
      <c r="U64" s="28"/>
      <c r="V64" s="28"/>
      <c r="W64" s="28"/>
      <c r="X64" s="28"/>
      <c r="Y64" s="28"/>
    </row>
    <row r="65" spans="1:25" x14ac:dyDescent="0.25">
      <c r="A65" s="28"/>
      <c r="B65" s="28"/>
      <c r="C65" s="28"/>
      <c r="D65" s="28"/>
      <c r="E65" s="28"/>
      <c r="F65" s="28"/>
      <c r="G65" s="28"/>
      <c r="H65" s="28"/>
      <c r="I65" s="28"/>
      <c r="J65" s="28"/>
      <c r="K65" s="28"/>
      <c r="L65" s="28"/>
      <c r="M65" s="28"/>
      <c r="N65" s="156">
        <f t="shared" si="4"/>
        <v>44409</v>
      </c>
      <c r="O65" s="155">
        <f t="shared" si="5"/>
        <v>2021</v>
      </c>
      <c r="P65" s="155">
        <f t="shared" si="2"/>
        <v>8</v>
      </c>
      <c r="Q65" s="28"/>
      <c r="R65" s="28"/>
      <c r="S65" s="28"/>
      <c r="T65" s="28"/>
      <c r="U65" s="28"/>
      <c r="V65" s="28"/>
      <c r="W65" s="28"/>
      <c r="X65" s="28"/>
      <c r="Y65" s="28"/>
    </row>
    <row r="66" spans="1:25" x14ac:dyDescent="0.25">
      <c r="A66" s="28"/>
      <c r="B66" s="28"/>
      <c r="C66" s="28"/>
      <c r="D66" s="28"/>
      <c r="E66" s="28"/>
      <c r="F66" s="28"/>
      <c r="G66" s="28"/>
      <c r="H66" s="28"/>
      <c r="I66" s="28"/>
      <c r="J66" s="28"/>
      <c r="K66" s="28"/>
      <c r="L66" s="28"/>
      <c r="M66" s="28"/>
      <c r="N66" s="156">
        <f t="shared" si="4"/>
        <v>44440</v>
      </c>
      <c r="O66" s="155">
        <f t="shared" si="5"/>
        <v>2021</v>
      </c>
      <c r="P66" s="155">
        <f t="shared" si="2"/>
        <v>9</v>
      </c>
      <c r="Q66" s="28"/>
      <c r="R66" s="28"/>
      <c r="S66" s="28"/>
      <c r="T66" s="28"/>
      <c r="U66" s="28"/>
      <c r="V66" s="28"/>
      <c r="W66" s="28"/>
      <c r="X66" s="28"/>
      <c r="Y66" s="28"/>
    </row>
    <row r="67" spans="1:25" x14ac:dyDescent="0.25">
      <c r="A67" s="28"/>
      <c r="B67" s="28"/>
      <c r="C67" s="28"/>
      <c r="D67" s="28"/>
      <c r="E67" s="28"/>
      <c r="F67" s="28"/>
      <c r="G67" s="28"/>
      <c r="H67" s="28"/>
      <c r="I67" s="28"/>
      <c r="J67" s="28"/>
      <c r="K67" s="28"/>
      <c r="L67" s="28"/>
      <c r="M67" s="28"/>
      <c r="N67" s="156">
        <f t="shared" si="4"/>
        <v>44470</v>
      </c>
      <c r="O67" s="155">
        <f t="shared" si="5"/>
        <v>2021</v>
      </c>
      <c r="P67" s="155">
        <f t="shared" si="2"/>
        <v>10</v>
      </c>
      <c r="Q67" s="28"/>
      <c r="R67" s="28"/>
      <c r="S67" s="28"/>
      <c r="T67" s="28"/>
      <c r="U67" s="28"/>
      <c r="V67" s="28"/>
      <c r="W67" s="28"/>
      <c r="X67" s="28"/>
      <c r="Y67" s="28"/>
    </row>
    <row r="68" spans="1:25" x14ac:dyDescent="0.25">
      <c r="A68" s="28"/>
      <c r="B68" s="28"/>
      <c r="C68" s="28"/>
      <c r="D68" s="28"/>
      <c r="E68" s="28"/>
      <c r="F68" s="28"/>
      <c r="G68" s="28"/>
      <c r="H68" s="28"/>
      <c r="I68" s="28"/>
      <c r="J68" s="28"/>
      <c r="K68" s="28"/>
      <c r="L68" s="28"/>
      <c r="M68" s="28"/>
      <c r="N68" s="156">
        <f t="shared" si="4"/>
        <v>44501</v>
      </c>
      <c r="O68" s="155">
        <f t="shared" si="5"/>
        <v>2021</v>
      </c>
      <c r="P68" s="155">
        <f t="shared" si="2"/>
        <v>11</v>
      </c>
      <c r="Q68" s="28"/>
      <c r="R68" s="28"/>
      <c r="S68" s="28"/>
      <c r="T68" s="28"/>
      <c r="U68" s="28"/>
      <c r="V68" s="28"/>
      <c r="W68" s="28"/>
      <c r="X68" s="28"/>
      <c r="Y68" s="28"/>
    </row>
    <row r="69" spans="1:25" x14ac:dyDescent="0.25">
      <c r="A69" s="28"/>
      <c r="B69" s="28"/>
      <c r="C69" s="28"/>
      <c r="D69" s="28"/>
      <c r="E69" s="28"/>
      <c r="F69" s="28"/>
      <c r="G69" s="28"/>
      <c r="H69" s="28"/>
      <c r="I69" s="28"/>
      <c r="J69" s="28"/>
      <c r="K69" s="28"/>
      <c r="L69" s="28"/>
      <c r="M69" s="28"/>
      <c r="N69" s="156">
        <f t="shared" si="4"/>
        <v>44531</v>
      </c>
      <c r="O69" s="155">
        <f t="shared" si="5"/>
        <v>2021</v>
      </c>
      <c r="P69" s="155">
        <f t="shared" si="2"/>
        <v>12</v>
      </c>
      <c r="Q69" s="28"/>
      <c r="R69" s="28"/>
      <c r="S69" s="28"/>
      <c r="T69" s="28"/>
      <c r="U69" s="28"/>
      <c r="V69" s="28"/>
      <c r="W69" s="28"/>
      <c r="X69" s="28"/>
      <c r="Y69" s="28"/>
    </row>
    <row r="70" spans="1:25" x14ac:dyDescent="0.25">
      <c r="A70" s="28"/>
      <c r="B70" s="28"/>
      <c r="C70" s="28"/>
      <c r="D70" s="28"/>
      <c r="E70" s="28"/>
      <c r="F70" s="28"/>
      <c r="G70" s="28"/>
      <c r="H70" s="28"/>
      <c r="I70" s="28"/>
      <c r="J70" s="28"/>
      <c r="K70" s="28"/>
      <c r="L70" s="28"/>
      <c r="M70" s="28"/>
      <c r="N70" s="156">
        <f t="shared" si="4"/>
        <v>44562</v>
      </c>
      <c r="O70" s="155">
        <f t="shared" si="5"/>
        <v>2022</v>
      </c>
      <c r="P70" s="155">
        <f t="shared" si="2"/>
        <v>1</v>
      </c>
      <c r="Q70" s="28"/>
      <c r="R70" s="28"/>
      <c r="S70" s="28"/>
      <c r="T70" s="28"/>
      <c r="U70" s="28"/>
      <c r="V70" s="28"/>
      <c r="W70" s="28"/>
      <c r="X70" s="28"/>
      <c r="Y70" s="28"/>
    </row>
    <row r="71" spans="1:25" x14ac:dyDescent="0.25">
      <c r="A71" s="28"/>
      <c r="B71" s="28"/>
      <c r="C71" s="28"/>
      <c r="D71" s="28"/>
      <c r="E71" s="28"/>
      <c r="F71" s="28"/>
      <c r="G71" s="28"/>
      <c r="H71" s="28"/>
      <c r="I71" s="28"/>
      <c r="J71" s="28"/>
      <c r="K71" s="28"/>
      <c r="L71" s="28"/>
      <c r="M71" s="28"/>
      <c r="N71" s="156">
        <f t="shared" si="4"/>
        <v>44562</v>
      </c>
      <c r="O71" s="155">
        <f t="shared" si="5"/>
        <v>2022</v>
      </c>
      <c r="P71" s="155">
        <f t="shared" si="2"/>
        <v>2</v>
      </c>
      <c r="Q71" s="28"/>
      <c r="R71" s="28"/>
      <c r="S71" s="28"/>
      <c r="T71" s="28"/>
      <c r="U71" s="28"/>
      <c r="V71" s="28"/>
      <c r="W71" s="28"/>
      <c r="X71" s="28"/>
      <c r="Y71" s="28"/>
    </row>
    <row r="72" spans="1:25" x14ac:dyDescent="0.25">
      <c r="A72" s="28"/>
      <c r="B72" s="28"/>
      <c r="C72" s="28"/>
      <c r="D72" s="28"/>
      <c r="E72" s="28"/>
      <c r="F72" s="28"/>
      <c r="G72" s="28"/>
      <c r="H72" s="28"/>
      <c r="I72" s="28"/>
      <c r="J72" s="28"/>
      <c r="K72" s="28"/>
      <c r="L72" s="28"/>
      <c r="M72" s="28"/>
      <c r="N72" s="156">
        <f t="shared" si="4"/>
        <v>44562</v>
      </c>
      <c r="O72" s="155">
        <f t="shared" si="5"/>
        <v>2022</v>
      </c>
      <c r="P72" s="155">
        <f t="shared" si="2"/>
        <v>3</v>
      </c>
      <c r="Q72" s="28"/>
      <c r="R72" s="28"/>
      <c r="S72" s="28"/>
      <c r="T72" s="28"/>
      <c r="U72" s="28"/>
      <c r="V72" s="28"/>
      <c r="W72" s="28"/>
      <c r="X72" s="28"/>
      <c r="Y72" s="28"/>
    </row>
    <row r="73" spans="1:25" x14ac:dyDescent="0.25">
      <c r="A73" s="28"/>
      <c r="B73" s="28"/>
      <c r="C73" s="28"/>
      <c r="D73" s="28"/>
      <c r="E73" s="28"/>
      <c r="F73" s="28"/>
      <c r="G73" s="28"/>
      <c r="H73" s="28"/>
      <c r="I73" s="28"/>
      <c r="J73" s="28"/>
      <c r="K73" s="28"/>
      <c r="L73" s="28"/>
      <c r="M73" s="28"/>
      <c r="N73" s="156">
        <f t="shared" si="4"/>
        <v>44562</v>
      </c>
      <c r="O73" s="155">
        <f t="shared" ref="O73:O82" si="6">IF(P72=12,O72+1,O72)</f>
        <v>2022</v>
      </c>
      <c r="P73" s="155">
        <f t="shared" si="2"/>
        <v>4</v>
      </c>
      <c r="Q73" s="28"/>
      <c r="R73" s="28"/>
      <c r="S73" s="28"/>
      <c r="T73" s="28"/>
      <c r="U73" s="28"/>
      <c r="V73" s="28"/>
      <c r="W73" s="28"/>
      <c r="X73" s="28"/>
      <c r="Y73" s="28"/>
    </row>
    <row r="74" spans="1:25" x14ac:dyDescent="0.25">
      <c r="A74" s="28"/>
      <c r="B74" s="28"/>
      <c r="C74" s="28"/>
      <c r="D74" s="28"/>
      <c r="E74" s="28"/>
      <c r="F74" s="28"/>
      <c r="G74" s="28"/>
      <c r="H74" s="28"/>
      <c r="I74" s="28"/>
      <c r="J74" s="28"/>
      <c r="K74" s="28"/>
      <c r="L74" s="28"/>
      <c r="M74" s="28"/>
      <c r="N74" s="156">
        <f t="shared" ref="N74:N82" si="7">IF(DATE(O74,P74,1)&gt;Latest_CO_Date,N73,DATE(O74,P74,1))</f>
        <v>44562</v>
      </c>
      <c r="O74" s="155">
        <f t="shared" si="6"/>
        <v>2022</v>
      </c>
      <c r="P74" s="155">
        <f t="shared" si="2"/>
        <v>5</v>
      </c>
      <c r="Q74" s="28"/>
      <c r="R74" s="28"/>
      <c r="S74" s="28"/>
      <c r="T74" s="28"/>
      <c r="U74" s="28"/>
      <c r="V74" s="28"/>
      <c r="W74" s="28"/>
      <c r="X74" s="28"/>
      <c r="Y74" s="28"/>
    </row>
    <row r="75" spans="1:25" x14ac:dyDescent="0.25">
      <c r="A75" s="28"/>
      <c r="B75" s="28"/>
      <c r="C75" s="28"/>
      <c r="D75" s="28"/>
      <c r="E75" s="28"/>
      <c r="F75" s="28"/>
      <c r="G75" s="28"/>
      <c r="H75" s="28"/>
      <c r="I75" s="28"/>
      <c r="J75" s="28"/>
      <c r="K75" s="28"/>
      <c r="L75" s="28"/>
      <c r="M75" s="28"/>
      <c r="N75" s="156">
        <f t="shared" si="7"/>
        <v>44562</v>
      </c>
      <c r="O75" s="155">
        <f t="shared" si="6"/>
        <v>2022</v>
      </c>
      <c r="P75" s="155">
        <f t="shared" si="2"/>
        <v>6</v>
      </c>
      <c r="Q75" s="28"/>
      <c r="R75" s="28"/>
      <c r="S75" s="28"/>
      <c r="T75" s="28"/>
      <c r="U75" s="28"/>
      <c r="V75" s="28"/>
      <c r="W75" s="28"/>
      <c r="X75" s="28"/>
      <c r="Y75" s="28"/>
    </row>
    <row r="76" spans="1:25" x14ac:dyDescent="0.25">
      <c r="A76" s="28"/>
      <c r="B76" s="28"/>
      <c r="C76" s="28"/>
      <c r="D76" s="28"/>
      <c r="E76" s="28"/>
      <c r="F76" s="28"/>
      <c r="G76" s="28"/>
      <c r="H76" s="28"/>
      <c r="I76" s="28"/>
      <c r="J76" s="28"/>
      <c r="K76" s="28"/>
      <c r="L76" s="28"/>
      <c r="M76" s="28"/>
      <c r="N76" s="156">
        <f t="shared" si="7"/>
        <v>44562</v>
      </c>
      <c r="O76" s="155">
        <f t="shared" si="6"/>
        <v>2022</v>
      </c>
      <c r="P76" s="155">
        <f t="shared" ref="P76:P82" si="8">IF(P75=12,1,P75+1)</f>
        <v>7</v>
      </c>
      <c r="Q76" s="28"/>
      <c r="R76" s="28"/>
      <c r="S76" s="28"/>
      <c r="T76" s="28"/>
      <c r="U76" s="28"/>
      <c r="V76" s="28"/>
      <c r="W76" s="28"/>
      <c r="X76" s="28"/>
      <c r="Y76" s="28"/>
    </row>
    <row r="77" spans="1:25" x14ac:dyDescent="0.25">
      <c r="A77" s="28"/>
      <c r="B77" s="28"/>
      <c r="C77" s="28"/>
      <c r="D77" s="28"/>
      <c r="E77" s="28"/>
      <c r="F77" s="28"/>
      <c r="G77" s="28"/>
      <c r="H77" s="28"/>
      <c r="I77" s="28"/>
      <c r="J77" s="28"/>
      <c r="K77" s="28"/>
      <c r="L77" s="28"/>
      <c r="M77" s="28"/>
      <c r="N77" s="156">
        <f t="shared" si="7"/>
        <v>44562</v>
      </c>
      <c r="O77" s="155">
        <f t="shared" si="6"/>
        <v>2022</v>
      </c>
      <c r="P77" s="155">
        <f t="shared" si="8"/>
        <v>8</v>
      </c>
      <c r="Q77" s="28"/>
      <c r="R77" s="28"/>
      <c r="S77" s="28"/>
      <c r="T77" s="28"/>
      <c r="U77" s="28"/>
      <c r="V77" s="28"/>
      <c r="W77" s="28"/>
      <c r="X77" s="28"/>
      <c r="Y77" s="28"/>
    </row>
    <row r="78" spans="1:25" x14ac:dyDescent="0.25">
      <c r="A78" s="28"/>
      <c r="B78" s="28"/>
      <c r="C78" s="28"/>
      <c r="D78" s="28"/>
      <c r="E78" s="28"/>
      <c r="F78" s="28"/>
      <c r="G78" s="28"/>
      <c r="H78" s="28"/>
      <c r="I78" s="28"/>
      <c r="J78" s="28"/>
      <c r="K78" s="28"/>
      <c r="L78" s="28"/>
      <c r="M78" s="28"/>
      <c r="N78" s="156">
        <f t="shared" si="7"/>
        <v>44562</v>
      </c>
      <c r="O78" s="155">
        <f t="shared" si="6"/>
        <v>2022</v>
      </c>
      <c r="P78" s="155">
        <f t="shared" si="8"/>
        <v>9</v>
      </c>
      <c r="Q78" s="28"/>
      <c r="R78" s="28"/>
      <c r="S78" s="28"/>
      <c r="T78" s="28"/>
      <c r="U78" s="28"/>
      <c r="V78" s="28"/>
      <c r="W78" s="28"/>
      <c r="X78" s="28"/>
      <c r="Y78" s="28"/>
    </row>
    <row r="79" spans="1:25" x14ac:dyDescent="0.25">
      <c r="A79" s="28"/>
      <c r="B79" s="28"/>
      <c r="C79" s="28"/>
      <c r="D79" s="28"/>
      <c r="E79" s="28"/>
      <c r="F79" s="28"/>
      <c r="G79" s="28"/>
      <c r="H79" s="28"/>
      <c r="I79" s="28"/>
      <c r="J79" s="28"/>
      <c r="K79" s="28"/>
      <c r="L79" s="28"/>
      <c r="M79" s="28"/>
      <c r="N79" s="156">
        <f t="shared" si="7"/>
        <v>44562</v>
      </c>
      <c r="O79" s="155">
        <f t="shared" si="6"/>
        <v>2022</v>
      </c>
      <c r="P79" s="155">
        <f t="shared" si="8"/>
        <v>10</v>
      </c>
      <c r="Q79" s="28"/>
      <c r="R79" s="28"/>
      <c r="S79" s="28"/>
      <c r="T79" s="28"/>
      <c r="U79" s="28"/>
      <c r="V79" s="28"/>
      <c r="W79" s="28"/>
      <c r="X79" s="28"/>
      <c r="Y79" s="28"/>
    </row>
    <row r="80" spans="1:25" x14ac:dyDescent="0.25">
      <c r="A80" s="28"/>
      <c r="B80" s="28"/>
      <c r="C80" s="28"/>
      <c r="D80" s="28"/>
      <c r="E80" s="28"/>
      <c r="F80" s="28"/>
      <c r="G80" s="28"/>
      <c r="H80" s="28"/>
      <c r="I80" s="28"/>
      <c r="J80" s="28"/>
      <c r="K80" s="28"/>
      <c r="L80" s="28"/>
      <c r="M80" s="28"/>
      <c r="N80" s="156">
        <f t="shared" si="7"/>
        <v>44562</v>
      </c>
      <c r="O80" s="155">
        <f t="shared" si="6"/>
        <v>2022</v>
      </c>
      <c r="P80" s="155">
        <f t="shared" si="8"/>
        <v>11</v>
      </c>
      <c r="Q80" s="28"/>
      <c r="R80" s="28"/>
      <c r="S80" s="28"/>
      <c r="T80" s="28"/>
      <c r="U80" s="28"/>
      <c r="V80" s="28"/>
      <c r="W80" s="28"/>
      <c r="X80" s="28"/>
      <c r="Y80" s="28"/>
    </row>
    <row r="81" spans="1:25" x14ac:dyDescent="0.25">
      <c r="A81" s="28"/>
      <c r="B81" s="28"/>
      <c r="C81" s="28"/>
      <c r="D81" s="28"/>
      <c r="E81" s="28"/>
      <c r="F81" s="28"/>
      <c r="G81" s="28"/>
      <c r="H81" s="28"/>
      <c r="I81" s="28"/>
      <c r="J81" s="28"/>
      <c r="K81" s="28"/>
      <c r="L81" s="28"/>
      <c r="M81" s="28"/>
      <c r="N81" s="156">
        <f t="shared" si="7"/>
        <v>44562</v>
      </c>
      <c r="O81" s="155">
        <f t="shared" si="6"/>
        <v>2022</v>
      </c>
      <c r="P81" s="155">
        <f t="shared" si="8"/>
        <v>12</v>
      </c>
      <c r="Q81" s="28"/>
      <c r="R81" s="28"/>
      <c r="S81" s="28"/>
      <c r="T81" s="28"/>
      <c r="U81" s="28"/>
      <c r="V81" s="28"/>
      <c r="W81" s="28"/>
      <c r="X81" s="28"/>
      <c r="Y81" s="28"/>
    </row>
    <row r="82" spans="1:25" x14ac:dyDescent="0.25">
      <c r="A82" s="28"/>
      <c r="B82" s="28"/>
      <c r="C82" s="28"/>
      <c r="D82" s="28"/>
      <c r="E82" s="28"/>
      <c r="F82" s="28"/>
      <c r="G82" s="28"/>
      <c r="H82" s="28"/>
      <c r="I82" s="28"/>
      <c r="J82" s="28"/>
      <c r="K82" s="28"/>
      <c r="L82" s="28"/>
      <c r="M82" s="28"/>
      <c r="N82" s="156">
        <f t="shared" si="7"/>
        <v>44562</v>
      </c>
      <c r="O82" s="155">
        <f t="shared" si="6"/>
        <v>2023</v>
      </c>
      <c r="P82" s="155">
        <f t="shared" si="8"/>
        <v>1</v>
      </c>
      <c r="Q82" s="28"/>
      <c r="R82" s="28"/>
      <c r="S82" s="28"/>
      <c r="T82" s="28"/>
      <c r="U82" s="28"/>
      <c r="V82" s="28"/>
      <c r="W82" s="28"/>
      <c r="X82" s="28"/>
      <c r="Y82" s="28"/>
    </row>
    <row r="83" spans="1:25"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row>
    <row r="84" spans="1:25"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row>
    <row r="85" spans="1:25"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row>
    <row r="86" spans="1:25"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row>
    <row r="87" spans="1:25"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row>
    <row r="88" spans="1:25"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row>
    <row r="89" spans="1:25"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row>
    <row r="90" spans="1:25"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row>
    <row r="91" spans="1:25"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row>
    <row r="92" spans="1:25"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row>
    <row r="93" spans="1:25"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row>
    <row r="94" spans="1:25"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row>
    <row r="95" spans="1:25"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row>
    <row r="96" spans="1:25"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row>
    <row r="97" spans="1:25"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row>
    <row r="98" spans="1:25"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row>
    <row r="99" spans="1:25"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row>
    <row r="100" spans="1:25"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row>
    <row r="101" spans="1:25"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row>
    <row r="102" spans="1:25"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row>
    <row r="103" spans="1:25"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row>
    <row r="104" spans="1:25"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row>
    <row r="105" spans="1:25"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row>
    <row r="106" spans="1:25"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row>
    <row r="107" spans="1:25"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row>
    <row r="108" spans="1:25"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row>
    <row r="109" spans="1:25"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row>
    <row r="110" spans="1:25"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row>
    <row r="111" spans="1:25"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row>
    <row r="112" spans="1:25"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row>
    <row r="113" spans="1:25"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row>
    <row r="114" spans="1:25"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row>
    <row r="115" spans="1:25"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row>
    <row r="116" spans="1:25"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row>
    <row r="117" spans="1:25"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row>
    <row r="118" spans="1:25"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row>
    <row r="119" spans="1:25"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row>
    <row r="120" spans="1:25"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row>
    <row r="121" spans="1:25"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row>
    <row r="122" spans="1:25"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row>
    <row r="123" spans="1:25"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row>
    <row r="124" spans="1:25"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row>
    <row r="125" spans="1:25"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row>
    <row r="126" spans="1:25"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row>
    <row r="127" spans="1:25"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row>
    <row r="128" spans="1:25"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row>
    <row r="129" spans="1:25"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row>
    <row r="130" spans="1:25"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row>
    <row r="131" spans="1:25"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row>
    <row r="132" spans="1:25"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row>
    <row r="133" spans="1:25"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row>
    <row r="134" spans="1:25"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row>
    <row r="135" spans="1:25"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row>
    <row r="136" spans="1:25"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row>
    <row r="137" spans="1:25"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row>
    <row r="138" spans="1:25"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row>
    <row r="139" spans="1:25"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row>
    <row r="140" spans="1:25"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row>
    <row r="141" spans="1:25"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row>
    <row r="142" spans="1:25"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row>
    <row r="143" spans="1:25"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row>
    <row r="144" spans="1:25"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row>
    <row r="145" spans="1:25"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row>
    <row r="146" spans="1:25"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row>
    <row r="147" spans="1:25"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row>
    <row r="148" spans="1:25"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row>
    <row r="149" spans="1:25"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row>
    <row r="150" spans="1:25"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row>
    <row r="151" spans="1:25"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row>
    <row r="152" spans="1:25"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row>
    <row r="153" spans="1:25"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row>
    <row r="154" spans="1:25"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row>
    <row r="155" spans="1:25"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row>
    <row r="156" spans="1:25"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row>
    <row r="157" spans="1:25"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row>
    <row r="158" spans="1:25"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row>
    <row r="159" spans="1:25"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row>
    <row r="160" spans="1:25"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row>
    <row r="161" spans="1:25"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row>
    <row r="162" spans="1:25"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row>
    <row r="163" spans="1:25"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row>
    <row r="164" spans="1:25"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row>
    <row r="165" spans="1:25"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row>
    <row r="166" spans="1:25"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row>
    <row r="167" spans="1:25"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row>
    <row r="168" spans="1:25"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row>
    <row r="169" spans="1:25"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row>
    <row r="170" spans="1:25"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row>
    <row r="171" spans="1:25"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row>
    <row r="172" spans="1:25"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row>
    <row r="173" spans="1:25"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row>
    <row r="174" spans="1:25"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row>
    <row r="175" spans="1:25"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row>
    <row r="176" spans="1:25"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row>
    <row r="177" spans="1:25"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row>
    <row r="178" spans="1:25"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row>
    <row r="179" spans="1:25"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row>
    <row r="180" spans="1:25"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row>
    <row r="181" spans="1:25"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row>
    <row r="182" spans="1:25"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row>
    <row r="183" spans="1:25"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row>
    <row r="184" spans="1:25"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row>
    <row r="185" spans="1:25"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row>
    <row r="186" spans="1:25"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row>
    <row r="187" spans="1:25"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row>
    <row r="188" spans="1:25"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row>
    <row r="189" spans="1:25"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row>
    <row r="190" spans="1:25"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row>
    <row r="191" spans="1:25"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row>
    <row r="192" spans="1:25"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row>
    <row r="193" spans="1:25"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row>
    <row r="194" spans="1:25"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row>
    <row r="195" spans="1:25"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row>
    <row r="196" spans="1:25"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row>
    <row r="197" spans="1:25"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row>
    <row r="198" spans="1:25"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row>
    <row r="199" spans="1:25"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row>
    <row r="200" spans="1:25"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row>
    <row r="201" spans="1:25"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row>
    <row r="202" spans="1:25"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row>
    <row r="203" spans="1:25"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row>
    <row r="204" spans="1:25"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row>
    <row r="205" spans="1:25"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row>
    <row r="206" spans="1:25"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row>
    <row r="207" spans="1:25"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row>
    <row r="208" spans="1:25"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row>
    <row r="209" spans="1:25"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row>
    <row r="210" spans="1:25"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row>
    <row r="211" spans="1:25"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row>
    <row r="212" spans="1:25"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row>
    <row r="213" spans="1:25"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row>
    <row r="214" spans="1:25"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row>
    <row r="215" spans="1:25"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row>
    <row r="216" spans="1:25"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row>
    <row r="217" spans="1:25"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row>
    <row r="218" spans="1:25"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row>
    <row r="219" spans="1:25"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row>
    <row r="220" spans="1:25"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row>
    <row r="221" spans="1:25"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row>
    <row r="222" spans="1:25"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row>
    <row r="223" spans="1:25"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row>
    <row r="224" spans="1:25"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row>
    <row r="225" spans="1:25"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row>
    <row r="226" spans="1:25"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row>
    <row r="227" spans="1:25"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row>
    <row r="228" spans="1:25"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row>
    <row r="229" spans="1:25"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row>
    <row r="230" spans="1:25"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row>
    <row r="231" spans="1:25"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row>
    <row r="232" spans="1:25"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row>
    <row r="233" spans="1:25"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row>
    <row r="234" spans="1:25"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row>
    <row r="235" spans="1:25"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row>
    <row r="236" spans="1:25"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row>
    <row r="237" spans="1:25"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row>
    <row r="238" spans="1:25"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row>
    <row r="239" spans="1:25"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row>
    <row r="240" spans="1:25"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row>
    <row r="241" spans="1:25"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row>
    <row r="242" spans="1:25"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row>
    <row r="243" spans="1:25"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row>
    <row r="244" spans="1:25"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row>
    <row r="245" spans="1:25"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row>
    <row r="246" spans="1:25"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row>
    <row r="247" spans="1:25"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row>
    <row r="248" spans="1:25"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row>
    <row r="249" spans="1:25"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row>
    <row r="250" spans="1:25"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row>
    <row r="251" spans="1:25"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row>
    <row r="252" spans="1:25"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row>
    <row r="253" spans="1:25"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row>
    <row r="254" spans="1:25"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row>
    <row r="255" spans="1:25"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row>
    <row r="256" spans="1:25"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row>
    <row r="257" spans="1:25"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row>
    <row r="258" spans="1:25"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row>
    <row r="259" spans="1:25"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row>
    <row r="260" spans="1:25"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row>
    <row r="261" spans="1:25"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row>
    <row r="262" spans="1:25"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row>
    <row r="263" spans="1:25"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row>
    <row r="264" spans="1:25"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row>
    <row r="265" spans="1:25"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row>
    <row r="266" spans="1:25"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row>
    <row r="267" spans="1:25"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row>
    <row r="268" spans="1:25"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row>
    <row r="269" spans="1:25"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row>
    <row r="270" spans="1:25"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row>
    <row r="271" spans="1:25"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row>
    <row r="272" spans="1:25"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row>
    <row r="273" spans="1:25"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row>
    <row r="274" spans="1:25"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row>
    <row r="275" spans="1:25"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row>
    <row r="276" spans="1:25"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row>
    <row r="277" spans="1:25"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row>
    <row r="278" spans="1:25"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row>
    <row r="279" spans="1:25"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row>
    <row r="280" spans="1:25"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row>
    <row r="281" spans="1:25"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row>
    <row r="282" spans="1:25"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row>
    <row r="283" spans="1:25"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row>
    <row r="284" spans="1:25"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row>
    <row r="285" spans="1:25"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row>
    <row r="286" spans="1:25"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row>
    <row r="287" spans="1:25"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row>
    <row r="288" spans="1:25"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row>
    <row r="289" spans="1:25"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row>
    <row r="290" spans="1:25"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row>
    <row r="291" spans="1:25"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row>
    <row r="292" spans="1:25"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row>
    <row r="293" spans="1:25"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row>
    <row r="294" spans="1:25"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row>
    <row r="295" spans="1:25"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row>
    <row r="296" spans="1:25"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row>
    <row r="297" spans="1:25"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row>
    <row r="298" spans="1:25"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row>
    <row r="299" spans="1:25"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row>
    <row r="300" spans="1:25"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row>
    <row r="301" spans="1:25"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row>
    <row r="302" spans="1:25"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row>
    <row r="303" spans="1:25"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row>
    <row r="304" spans="1:25"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row>
    <row r="305" spans="1:25"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row>
  </sheetData>
  <sheetProtection password="E831" sheet="1" objects="1" scenarios="1"/>
  <mergeCells count="2">
    <mergeCell ref="B2:L2"/>
    <mergeCell ref="B3:L3"/>
  </mergeCells>
  <conditionalFormatting sqref="D8">
    <cfRule type="expression" priority="37">
      <formula>(MAX(#REF!)&gt;$H$8)</formula>
    </cfRule>
  </conditionalFormatting>
  <pageMargins left="1" right="0.75" top="0.75" bottom="0.75" header="0.3" footer="0.3"/>
  <pageSetup scale="94" orientation="portrait" r:id="rId1"/>
  <headerFooter>
    <oddFooter>&amp;L&amp;9&amp;Z&amp;F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48</vt:i4>
      </vt:variant>
    </vt:vector>
  </HeadingPairs>
  <TitlesOfParts>
    <vt:vector size="51" baseType="lpstr">
      <vt:lpstr>Instructions</vt:lpstr>
      <vt:lpstr>Bid Data</vt:lpstr>
      <vt:lpstr>Validation</vt:lpstr>
      <vt:lpstr>Applicant_Name</vt:lpstr>
      <vt:lpstr>Base_to_Early_CO_Factor</vt:lpstr>
      <vt:lpstr>Base_Upgrade_Cost</vt:lpstr>
      <vt:lpstr>Base_Year</vt:lpstr>
      <vt:lpstr>CO_Date</vt:lpstr>
      <vt:lpstr>CO_Date_List</vt:lpstr>
      <vt:lpstr>Earliest_CO_Date</vt:lpstr>
      <vt:lpstr>Form_Date</vt:lpstr>
      <vt:lpstr>Form_Version</vt:lpstr>
      <vt:lpstr>IC_Point</vt:lpstr>
      <vt:lpstr>IC_Point_List</vt:lpstr>
      <vt:lpstr>ICAP_Range_Tops</vt:lpstr>
      <vt:lpstr>Inflation_Rate</vt:lpstr>
      <vt:lpstr>Inflation2</vt:lpstr>
      <vt:lpstr>Inflation3</vt:lpstr>
      <vt:lpstr>InfYr1</vt:lpstr>
      <vt:lpstr>InfYr2</vt:lpstr>
      <vt:lpstr>InfYr3</vt:lpstr>
      <vt:lpstr>Installed_Capacity</vt:lpstr>
      <vt:lpstr>Latest_CO_Date</vt:lpstr>
      <vt:lpstr>Lease_Site</vt:lpstr>
      <vt:lpstr>Lease_Site_List</vt:lpstr>
      <vt:lpstr>LTC_T_Bond_Rate</vt:lpstr>
      <vt:lpstr>Max_OREC_Term</vt:lpstr>
      <vt:lpstr>Max_Part_2_Price</vt:lpstr>
      <vt:lpstr>Max_Part1_Price</vt:lpstr>
      <vt:lpstr>MaxCap</vt:lpstr>
      <vt:lpstr>Min_OREC_Term</vt:lpstr>
      <vt:lpstr>Min_Part_2_Price</vt:lpstr>
      <vt:lpstr>Min_Part1_Price</vt:lpstr>
      <vt:lpstr>MinCap</vt:lpstr>
      <vt:lpstr>OREC_Price_Cap</vt:lpstr>
      <vt:lpstr>OREC_Term</vt:lpstr>
      <vt:lpstr>Part_1_Price_Table</vt:lpstr>
      <vt:lpstr>Part_2_Price</vt:lpstr>
      <vt:lpstr>Price_Prpsl_Name</vt:lpstr>
      <vt:lpstr>Price_Prpsl_Type</vt:lpstr>
      <vt:lpstr>Price_Type_List</vt:lpstr>
      <vt:lpstr>'Bid Data'!Print_Area</vt:lpstr>
      <vt:lpstr>Instructions!Print_Area</vt:lpstr>
      <vt:lpstr>Validation!Print_Area</vt:lpstr>
      <vt:lpstr>Instructions!Print_Titles</vt:lpstr>
      <vt:lpstr>Project_Name</vt:lpstr>
      <vt:lpstr>Real_Discount_Rate</vt:lpstr>
      <vt:lpstr>Rounded_Part2_Price</vt:lpstr>
      <vt:lpstr>Upgrade_Base_Year</vt:lpstr>
      <vt:lpstr>Upgrade_Case</vt:lpstr>
      <vt:lpstr>Upgrade_Cost_Table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L. Curlett</dc:creator>
  <cp:lastModifiedBy>Philip L. Curlett</cp:lastModifiedBy>
  <cp:lastPrinted>2015-04-15T17:15:46Z</cp:lastPrinted>
  <dcterms:created xsi:type="dcterms:W3CDTF">2014-10-17T20:38:49Z</dcterms:created>
  <dcterms:modified xsi:type="dcterms:W3CDTF">2015-04-24T13:39:09Z</dcterms:modified>
</cp:coreProperties>
</file>